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620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calcPr calcId="145621"/>
</workbook>
</file>

<file path=xl/calcChain.xml><?xml version="1.0" encoding="utf-8"?>
<calcChain xmlns="http://schemas.openxmlformats.org/spreadsheetml/2006/main">
  <c r="L11" i="1" l="1"/>
  <c r="Q14" i="1"/>
  <c r="M21" i="1"/>
  <c r="N21" i="1"/>
  <c r="O21" i="1"/>
  <c r="D37" i="2"/>
  <c r="E37" i="2"/>
  <c r="F37" i="2"/>
  <c r="G37" i="2"/>
  <c r="H37" i="2"/>
  <c r="I37" i="2"/>
  <c r="J37" i="2"/>
  <c r="K37" i="2"/>
  <c r="L37" i="2"/>
  <c r="M37" i="2"/>
  <c r="N37" i="2"/>
  <c r="N8" i="2" s="1"/>
  <c r="O37" i="2"/>
  <c r="P37" i="2"/>
  <c r="Q37" i="2"/>
  <c r="R37" i="2"/>
  <c r="S37" i="2"/>
  <c r="T37" i="2"/>
  <c r="U37" i="2"/>
  <c r="V37" i="2"/>
  <c r="V8" i="2" s="1"/>
  <c r="W37" i="2"/>
  <c r="X37" i="2"/>
  <c r="Y37" i="2"/>
  <c r="Z37" i="2"/>
  <c r="D20" i="2"/>
  <c r="F20" i="2"/>
  <c r="G20" i="2"/>
  <c r="H20" i="2"/>
  <c r="J20" i="2"/>
  <c r="J8" i="2" s="1"/>
  <c r="K20" i="2"/>
  <c r="L20" i="2"/>
  <c r="N20" i="2"/>
  <c r="O20" i="2"/>
  <c r="O8" i="2" s="1"/>
  <c r="P20" i="2"/>
  <c r="Q20" i="2"/>
  <c r="R20" i="2"/>
  <c r="S20" i="2"/>
  <c r="S8" i="2" s="1"/>
  <c r="T20" i="2"/>
  <c r="U20" i="2"/>
  <c r="U8" i="2" s="1"/>
  <c r="V20" i="2"/>
  <c r="W20" i="2"/>
  <c r="W8" i="2" s="1"/>
  <c r="X20" i="2"/>
  <c r="Y20" i="2"/>
  <c r="Y8" i="2" s="1"/>
  <c r="Z20" i="2"/>
  <c r="H8" i="2"/>
  <c r="P8" i="2"/>
  <c r="R8" i="2"/>
  <c r="T8" i="2"/>
  <c r="X8" i="2"/>
  <c r="Z8" i="2"/>
  <c r="D8" i="2"/>
  <c r="K8" i="2" l="1"/>
  <c r="F8" i="2"/>
  <c r="M44" i="2" l="1"/>
  <c r="L45" i="1"/>
  <c r="P45" i="1" s="1"/>
  <c r="M32" i="2"/>
  <c r="C32" i="2" s="1"/>
  <c r="E24" i="2"/>
  <c r="R25" i="1"/>
  <c r="M24" i="2"/>
  <c r="M19" i="2"/>
  <c r="C19" i="2" s="1"/>
  <c r="M14" i="2"/>
  <c r="C14" i="2" s="1"/>
  <c r="L15" i="1"/>
  <c r="P15" i="1" s="1"/>
  <c r="M11" i="2"/>
  <c r="C11" i="2" s="1"/>
  <c r="M10" i="2"/>
  <c r="M58" i="2"/>
  <c r="M57" i="2"/>
  <c r="M56" i="2"/>
  <c r="M55" i="2"/>
  <c r="M53" i="2"/>
  <c r="M54" i="2"/>
  <c r="M47" i="2"/>
  <c r="M46" i="2"/>
  <c r="M45" i="2"/>
  <c r="M43" i="2"/>
  <c r="M42" i="2"/>
  <c r="M36" i="2"/>
  <c r="M35" i="2"/>
  <c r="M34" i="2"/>
  <c r="M33" i="2"/>
  <c r="M30" i="2"/>
  <c r="C30" i="2" s="1"/>
  <c r="M31" i="2"/>
  <c r="M25" i="2"/>
  <c r="M22" i="2"/>
  <c r="M23" i="2"/>
  <c r="M18" i="2"/>
  <c r="C18" i="2" s="1"/>
  <c r="M17" i="2"/>
  <c r="M15" i="2"/>
  <c r="C15" i="2" s="1"/>
  <c r="M16" i="2"/>
  <c r="C16" i="2" s="1"/>
  <c r="M12" i="2"/>
  <c r="C12" i="2" s="1"/>
  <c r="Q8" i="2"/>
  <c r="Q38" i="2"/>
  <c r="R39" i="1"/>
  <c r="I41" i="2"/>
  <c r="I40" i="2"/>
  <c r="I39" i="2"/>
  <c r="I38" i="2"/>
  <c r="I28" i="2"/>
  <c r="I21" i="2"/>
  <c r="I20" i="2" s="1"/>
  <c r="I10" i="2"/>
  <c r="E52" i="2"/>
  <c r="E51" i="2"/>
  <c r="E50" i="2"/>
  <c r="E49" i="2"/>
  <c r="E48" i="2"/>
  <c r="E29" i="2"/>
  <c r="E27" i="2"/>
  <c r="E26" i="2"/>
  <c r="E13" i="2"/>
  <c r="C13" i="2" s="1"/>
  <c r="I9" i="2"/>
  <c r="R11" i="1"/>
  <c r="L18" i="1"/>
  <c r="C17" i="2"/>
  <c r="L8" i="3"/>
  <c r="R42" i="1"/>
  <c r="R41" i="1"/>
  <c r="R40" i="1"/>
  <c r="R22" i="1"/>
  <c r="R53" i="1"/>
  <c r="R52" i="1"/>
  <c r="R51" i="1"/>
  <c r="R49" i="1"/>
  <c r="M20" i="2" l="1"/>
  <c r="E20" i="2"/>
  <c r="C10" i="2"/>
  <c r="C9" i="2" s="1"/>
  <c r="C24" i="2"/>
  <c r="M9" i="2"/>
  <c r="K38" i="1"/>
  <c r="K21" i="1"/>
  <c r="B8" i="3" l="1"/>
  <c r="M11" i="3" l="1"/>
  <c r="M10" i="3"/>
  <c r="M9" i="3"/>
  <c r="C8" i="3"/>
  <c r="C34" i="2"/>
  <c r="L35" i="1"/>
  <c r="L22" i="1" l="1"/>
  <c r="L12" i="1"/>
  <c r="P12" i="1" s="1"/>
  <c r="L17" i="1"/>
  <c r="P17" i="1" s="1"/>
  <c r="G8" i="2"/>
  <c r="L39" i="1"/>
  <c r="L9" i="2"/>
  <c r="L8" i="2" s="1"/>
  <c r="J38" i="1"/>
  <c r="I38" i="1"/>
  <c r="H38" i="1"/>
  <c r="J21" i="1"/>
  <c r="I21" i="1"/>
  <c r="H21" i="1"/>
  <c r="J10" i="1"/>
  <c r="I10" i="1"/>
  <c r="H10" i="1"/>
  <c r="C58" i="2"/>
  <c r="C57" i="2"/>
  <c r="C36" i="2"/>
  <c r="C35" i="2"/>
  <c r="L59" i="1"/>
  <c r="P59" i="1" s="1"/>
  <c r="L58" i="1"/>
  <c r="P58" i="1" s="1"/>
  <c r="L36" i="1"/>
  <c r="P36" i="1" s="1"/>
  <c r="L37" i="1"/>
  <c r="P37" i="1" s="1"/>
  <c r="L20" i="1"/>
  <c r="P20" i="1" s="1"/>
  <c r="L19" i="1"/>
  <c r="P19" i="1" s="1"/>
  <c r="Q19" i="1"/>
  <c r="C56" i="2"/>
  <c r="C55" i="2"/>
  <c r="C33" i="2"/>
  <c r="L56" i="1"/>
  <c r="P56" i="1" s="1"/>
  <c r="L57" i="1"/>
  <c r="Q57" i="1" s="1"/>
  <c r="Q18" i="1"/>
  <c r="Q35" i="1"/>
  <c r="L34" i="1"/>
  <c r="P34" i="1" s="1"/>
  <c r="P35" i="1"/>
  <c r="P18" i="1"/>
  <c r="P57" i="1" l="1"/>
  <c r="Q37" i="1"/>
  <c r="Q36" i="1"/>
  <c r="Q59" i="1"/>
  <c r="J9" i="1"/>
  <c r="I9" i="1"/>
  <c r="Q58" i="1"/>
  <c r="Q20" i="1"/>
  <c r="Q56" i="1"/>
  <c r="Q34" i="1"/>
  <c r="H9" i="1"/>
  <c r="Q17" i="1"/>
  <c r="L33" i="1"/>
  <c r="Q33" i="1" s="1"/>
  <c r="C39" i="2"/>
  <c r="C53" i="2"/>
  <c r="C54" i="2"/>
  <c r="C31" i="2"/>
  <c r="C28" i="2"/>
  <c r="C21" i="2"/>
  <c r="L54" i="1"/>
  <c r="P54" i="1" s="1"/>
  <c r="L55" i="1"/>
  <c r="P55" i="1" s="1"/>
  <c r="L31" i="1"/>
  <c r="P31" i="1" s="1"/>
  <c r="L32" i="1"/>
  <c r="P32" i="1" s="1"/>
  <c r="L16" i="1"/>
  <c r="P16" i="1" s="1"/>
  <c r="Q31" i="1" l="1"/>
  <c r="Q54" i="1"/>
  <c r="P33" i="1"/>
  <c r="Q32" i="1"/>
  <c r="Q55" i="1"/>
  <c r="Q15" i="1"/>
  <c r="Q16" i="1"/>
  <c r="L53" i="1"/>
  <c r="L52" i="1"/>
  <c r="L51" i="1"/>
  <c r="L50" i="1"/>
  <c r="L49" i="1"/>
  <c r="L48" i="1"/>
  <c r="L47" i="1"/>
  <c r="L46" i="1"/>
  <c r="L44" i="1"/>
  <c r="L43" i="1"/>
  <c r="L42" i="1"/>
  <c r="L41" i="1"/>
  <c r="L40" i="1"/>
  <c r="L25" i="1"/>
  <c r="L23" i="1"/>
  <c r="L24" i="1"/>
  <c r="L26" i="1"/>
  <c r="L27" i="1"/>
  <c r="L28" i="1"/>
  <c r="P28" i="1" s="1"/>
  <c r="L29" i="1"/>
  <c r="L30" i="1"/>
  <c r="L13" i="1"/>
  <c r="L14" i="1"/>
  <c r="C45" i="2"/>
  <c r="C52" i="2"/>
  <c r="C51" i="2"/>
  <c r="C50" i="2"/>
  <c r="C49" i="2"/>
  <c r="C27" i="2"/>
  <c r="C29" i="2"/>
  <c r="C41" i="2"/>
  <c r="C40" i="2"/>
  <c r="C47" i="2"/>
  <c r="C46" i="2"/>
  <c r="C44" i="2"/>
  <c r="C43" i="2"/>
  <c r="C25" i="2"/>
  <c r="C23" i="2"/>
  <c r="D8" i="3"/>
  <c r="E8" i="3"/>
  <c r="F8" i="3"/>
  <c r="G8" i="3"/>
  <c r="H8" i="3"/>
  <c r="I8" i="3"/>
  <c r="J8" i="3"/>
  <c r="K8" i="3"/>
  <c r="M8" i="3"/>
  <c r="M9" i="1"/>
  <c r="N9" i="1"/>
  <c r="O9" i="1"/>
  <c r="L10" i="1" l="1"/>
  <c r="C42" i="2"/>
  <c r="C26" i="2"/>
  <c r="C48" i="2"/>
  <c r="C22" i="2"/>
  <c r="I8" i="2"/>
  <c r="C38" i="2"/>
  <c r="E9" i="2"/>
  <c r="L21" i="1"/>
  <c r="L38" i="1"/>
  <c r="P14" i="1"/>
  <c r="Q12" i="1"/>
  <c r="Q29" i="1"/>
  <c r="P29" i="1"/>
  <c r="Q27" i="1"/>
  <c r="P27" i="1"/>
  <c r="Q24" i="1"/>
  <c r="P24" i="1"/>
  <c r="Q22" i="1"/>
  <c r="P22" i="1"/>
  <c r="Q40" i="1"/>
  <c r="P40" i="1"/>
  <c r="Q42" i="1"/>
  <c r="P42" i="1"/>
  <c r="Q44" i="1"/>
  <c r="P44" i="1"/>
  <c r="Q46" i="1"/>
  <c r="P46" i="1"/>
  <c r="Q48" i="1"/>
  <c r="P48" i="1"/>
  <c r="Q50" i="1"/>
  <c r="P50" i="1"/>
  <c r="Q52" i="1"/>
  <c r="P52" i="1"/>
  <c r="P11" i="1"/>
  <c r="Q13" i="1"/>
  <c r="P13" i="1"/>
  <c r="Q30" i="1"/>
  <c r="P30" i="1"/>
  <c r="Q26" i="1"/>
  <c r="P26" i="1"/>
  <c r="Q23" i="1"/>
  <c r="P23" i="1"/>
  <c r="Q25" i="1"/>
  <c r="P25" i="1"/>
  <c r="Q39" i="1"/>
  <c r="P39" i="1"/>
  <c r="Q41" i="1"/>
  <c r="P41" i="1"/>
  <c r="Q43" i="1"/>
  <c r="P43" i="1"/>
  <c r="Q45" i="1"/>
  <c r="Q47" i="1"/>
  <c r="P47" i="1"/>
  <c r="Q49" i="1"/>
  <c r="P49" i="1"/>
  <c r="Q51" i="1"/>
  <c r="P51" i="1"/>
  <c r="Q53" i="1"/>
  <c r="P53" i="1"/>
  <c r="Q28" i="1"/>
  <c r="C20" i="2" l="1"/>
  <c r="C8" i="2" s="1"/>
  <c r="C37" i="2"/>
  <c r="E8" i="2"/>
  <c r="M8" i="2"/>
  <c r="L9" i="1"/>
  <c r="P10" i="1"/>
  <c r="P38" i="1"/>
  <c r="P21" i="1"/>
  <c r="Q11" i="1"/>
  <c r="P9" i="1" l="1"/>
</calcChain>
</file>

<file path=xl/sharedStrings.xml><?xml version="1.0" encoding="utf-8"?>
<sst xmlns="http://schemas.openxmlformats.org/spreadsheetml/2006/main" count="356" uniqueCount="146">
  <si>
    <t>Форма 1</t>
  </si>
  <si>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</si>
  <si>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</si>
  <si>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</si>
  <si>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</si>
  <si>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</si>
  <si>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</si>
  <si>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</si>
  <si>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</si>
  <si>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</si>
  <si>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</si>
  <si>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</si>
  <si>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</si>
  <si>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</si>
  <si>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</si>
  <si>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</si>
  <si>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</si>
  <si>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</si>
  <si>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</si>
  <si>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</si>
  <si>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</si>
  <si>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</si>
  <si>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</si>
  <si>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</si>
  <si>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</si>
  <si>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</si>
  <si>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</si>
  <si>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</si>
  <si>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</si>
  <si>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</si>
  <si>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</si>
  <si>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</si>
  <si>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</si>
  <si>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Всего по МО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</si>
  <si>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</si>
  <si>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</si>
  <si>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</si>
  <si>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</si>
  <si>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</si>
  <si>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</si>
  <si>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</si>
  <si>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</si>
  <si>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</si>
  <si>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</si>
  <si>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</si>
  <si>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</si>
  <si>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</si>
  <si>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</si>
  <si>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</si>
  <si>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</si>
  <si>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</si>
  <si>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</si>
  <si>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</si>
  <si>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ХВС</t>
  </si>
  <si>
    <t>ГВС</t>
  </si>
  <si>
    <t>ВОД</t>
  </si>
  <si>
    <t xml:space="preserve">руб. </t>
  </si>
  <si>
    <t>ед.</t>
  </si>
  <si>
    <t>м3</t>
  </si>
  <si>
    <t>Всего по МО:</t>
  </si>
  <si>
    <t>Итого на 2018 г.</t>
  </si>
  <si>
    <t>Итого на 2019 г.</t>
  </si>
  <si>
    <t>Итого на 2020г.</t>
  </si>
  <si>
    <t>Стоимость капитального ремонта, всего</t>
  </si>
  <si>
    <t>Форма 2</t>
  </si>
  <si>
    <t>Планируемые показатели выполнения работ по капитальному</t>
  </si>
  <si>
    <t>ремонту общего имущества  многоквартирных домов</t>
  </si>
  <si>
    <t>Форма 3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</si>
  <si>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</si>
  <si>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</si>
  <si>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</si>
  <si>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</si>
  <si>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</si>
  <si>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</si>
  <si>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</si>
  <si>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</si>
  <si>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</si>
  <si>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</si>
  <si>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Итого с плановой датой завершения работ в 2018 г.</t>
  </si>
  <si>
    <t>Итого с плановой датой завершения работ в 2019 г.</t>
  </si>
  <si>
    <t>Итого с плановой датой завершения работ в 2020 г.</t>
  </si>
  <si>
    <t>г.Кизел, ул.Советская,  д.8</t>
  </si>
  <si>
    <t>г.Кизел, ул.Советская, д.7</t>
  </si>
  <si>
    <t>г.Кизел, ул.Юбилейная, д.5</t>
  </si>
  <si>
    <t>г.Кизел, ул.Ленина, д.30</t>
  </si>
  <si>
    <t>г.Кизел, ул.Советская, д.12</t>
  </si>
  <si>
    <t>г.Кизел, ул.Пролетарская, д.70</t>
  </si>
  <si>
    <t>г.Кизел, ул.Войнич, д.27</t>
  </si>
  <si>
    <t>г.Кизел, ул.Ленина, д.22</t>
  </si>
  <si>
    <t>г.Кизел, ул.Ленина, д.20</t>
  </si>
  <si>
    <t>г.Кизел, ул.Пролетарская, д.64</t>
  </si>
  <si>
    <t>г.Кизел, ул.Пролетарская, д.62</t>
  </si>
  <si>
    <t>г.Кизел, ул.Суворова, д.10</t>
  </si>
  <si>
    <t>г.Кизел, ул.Энгльса, д.46</t>
  </si>
  <si>
    <t>г.Кизел, ул.Войнич, д.1</t>
  </si>
  <si>
    <t>г.Кизел, ул.Пролетарская, д.76</t>
  </si>
  <si>
    <t>г.Кизел, ул.Ленина, д.49</t>
  </si>
  <si>
    <t>г.Кизел, ул.Чкалова, д.50</t>
  </si>
  <si>
    <t>г.Кизел, ул.Учебная, д.8</t>
  </si>
  <si>
    <t>г.Кизел, ул.Пролетарская, д .6</t>
  </si>
  <si>
    <t>г.Кизел, ул.Юных Коммунаров, д.27</t>
  </si>
  <si>
    <t>кирпич</t>
  </si>
  <si>
    <t>шлакоблок</t>
  </si>
  <si>
    <t>блочный</t>
  </si>
  <si>
    <t>г.Кизел, ул.Углегеологов, д.8</t>
  </si>
  <si>
    <t>г.Кизел, ул.Войнич, д.51</t>
  </si>
  <si>
    <t>РО</t>
  </si>
  <si>
    <t>С. Коспашское с.п., Крепильщиков, 21а</t>
  </si>
  <si>
    <t>С. Коспашское с.п., Крепильщиков, 15</t>
  </si>
  <si>
    <t>С.Коспасшкое с.п., Крепильщиков, 21</t>
  </si>
  <si>
    <t>С.Коспашское с.п., Крепильщиков, 19</t>
  </si>
  <si>
    <t>С. Коспашское с.п., Крепильщиков, 19а</t>
  </si>
  <si>
    <t>С.Коспашское с.п., Крепильщиков, 23</t>
  </si>
  <si>
    <t>С.Коспашское с.п., Крепильщиков, 21а</t>
  </si>
  <si>
    <t>п. Шахта, ул. Правды, 11</t>
  </si>
  <si>
    <t>2019</t>
  </si>
  <si>
    <t>п. Шахта, ул. Правды, д. 11</t>
  </si>
  <si>
    <t>Ц. Коспасшкое с.п., ул. Няровская, 1</t>
  </si>
  <si>
    <t>Ц. Коспашское с.п., ул. Няровская, 2</t>
  </si>
  <si>
    <t>Ц. Коспашское с.п., ул. Няровская, 4</t>
  </si>
  <si>
    <t>Ц. Коспашское с.п., ул. П. Коммуны, 45</t>
  </si>
  <si>
    <t>Ц. Коспашское с.п., ул.Слепнева, 15</t>
  </si>
  <si>
    <t>Ц. Коспашское с.п.п, ул. П. Коммуны, 34,а</t>
  </si>
  <si>
    <t>Ц. Коспашское с.п., ул. Няровская, 1</t>
  </si>
  <si>
    <t>Ц. Коспашское с.п., Няровская, 4</t>
  </si>
  <si>
    <t>Ц. Коспашское с.п., П. Коммуны, 45</t>
  </si>
  <si>
    <t>Ц. Коспашское с.п., Слепнева, 15</t>
  </si>
  <si>
    <t>Ц. Коспашское с.п., П. Коммуны, 34 а</t>
  </si>
  <si>
    <t>С -Коспашское с.п., ул. Крепильщиков, 23</t>
  </si>
  <si>
    <t>С. Коспашское с.п., ул. Крепильщиков, 21а</t>
  </si>
  <si>
    <t>Ю.Коспашское с.п., ул. Широковская, 40</t>
  </si>
  <si>
    <t>Ю.Коспашское с.п., ул. Матросова, 39</t>
  </si>
  <si>
    <t>Ю.Коспашское с.п., ул. Октября, 59</t>
  </si>
  <si>
    <t>С -Коспашское с.п., ул. Крепильщиков, 19</t>
  </si>
  <si>
    <t>С-Коспашское с.п., ул. Крепильщиков,19а</t>
  </si>
  <si>
    <t>Ю. Коспашское с.п., ул. Октября, 57</t>
  </si>
  <si>
    <t>Ю. Коспашское с.п., ул. Матросова, 45</t>
  </si>
  <si>
    <t>Ю. Коспашское с.п., ул. Матросова, 43</t>
  </si>
  <si>
    <t>Ю. Коспашское с.п., ул. Матросова, 39</t>
  </si>
  <si>
    <t>Ю.Коспашское с.п., ул. Октября, 57</t>
  </si>
  <si>
    <t>Ю. Коспашское с.п., ул. М атросова, 45</t>
  </si>
  <si>
    <t>Ю. Коспашское с.п., ул. М атросова, 43</t>
  </si>
  <si>
    <t>336</t>
  </si>
  <si>
    <t>1633</t>
  </si>
  <si>
    <t>СС</t>
  </si>
  <si>
    <r>
      <t>Муниципальный краткосрочный план реализации региональной
Программы капитального ремонта общего имущества
в многоквартирных домах, расположенных на территории
Кизеловского муниципального района,  на 2018-</t>
    </r>
    <r>
      <rPr>
        <sz val="12"/>
        <color theme="1" tint="4.9989318521683403E-2"/>
        <rFont val="Times New Roman"/>
        <family val="1"/>
        <charset val="204"/>
      </rPr>
      <t>2020 год</t>
    </r>
    <r>
      <rPr>
        <sz val="12"/>
        <color indexed="8"/>
        <rFont val="Times New Roman"/>
        <family val="1"/>
        <charset val="204"/>
      </rPr>
      <t xml:space="preserve">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Перечень многоквартирных домов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</si>
</sst>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/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4" fontId="4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4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3" fillId="0" borderId="1" xfId="0" applyFont="1" applyBorder="1"/>
    <xf numFmtId="0" fontId="5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wrapText="1"/>
    </xf>
    <xf numFmtId="0" fontId="7" fillId="2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0" fontId="8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/>
    <xf numFmtId="0" fontId="9" fillId="3" borderId="1" xfId="0" applyNumberFormat="1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2" borderId="1" xfId="0" applyNumberFormat="1" applyFont="1" applyFill="1" applyBorder="1"/>
    <xf numFmtId="2" fontId="1" fillId="2" borderId="1" xfId="0" applyNumberFormat="1" applyFont="1" applyFill="1" applyBorder="1"/>
    <xf numFmtId="2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2" fillId="2" borderId="1" xfId="0" applyFont="1" applyFill="1" applyBorder="1"/>
    <xf numFmtId="49" fontId="12" fillId="2" borderId="1" xfId="0" applyNumberFormat="1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right" wrapText="1"/>
    </xf>
    <xf numFmtId="0" fontId="14" fillId="3" borderId="1" xfId="0" applyNumberFormat="1" applyFont="1" applyFill="1" applyBorder="1" applyAlignment="1">
      <alignment horizontal="right" wrapText="1"/>
    </xf>
    <xf numFmtId="0" fontId="14" fillId="0" borderId="1" xfId="0" applyFont="1" applyBorder="1"/>
    <xf numFmtId="4" fontId="13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0" fontId="14" fillId="0" borderId="0" xfId="0" applyFont="1"/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wrapText="1"/>
    </xf>
    <xf numFmtId="0" fontId="9" fillId="3" borderId="2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vertical="center" wrapText="1"/>
    </xf>
    <xf numFmtId="4" fontId="1" fillId="0" borderId="0" xfId="0" applyNumberFormat="1" applyFont="1"/>
    <xf numFmtId="0" fontId="1" fillId="2" borderId="0" xfId="0" applyFont="1" applyFill="1" applyBorder="1" applyAlignment="1"/>
    <xf numFmtId="4" fontId="1" fillId="2" borderId="0" xfId="0" applyNumberFormat="1" applyFont="1" applyFill="1" applyBorder="1" applyAlignment="1"/>
    <xf numFmtId="4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0" fontId="1" fillId="0" borderId="1" xfId="0" applyFont="1" applyBorder="1" applyAlignment="1"/>
    <xf numFmtId="0" fontId="9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/>
    <xf numFmtId="0" fontId="2" fillId="2" borderId="2" xfId="0" applyNumberFormat="1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/>
    <xf numFmtId="14" fontId="2" fillId="2" borderId="0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center" textRotation="90" wrapText="1"/>
    </xf>
    <xf numFmtId="4" fontId="2" fillId="2" borderId="1" xfId="0" applyNumberFormat="1" applyFont="1" applyFill="1" applyBorder="1" applyAlignment="1">
      <alignment horizontal="center" textRotation="90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textRotation="90" wrapText="1"/>
    </xf>
    <xf numFmtId="0" fontId="2" fillId="2" borderId="1" xfId="0" applyNumberFormat="1" applyFont="1" applyFill="1" applyBorder="1" applyAlignment="1">
      <alignment horizontal="center" textRotation="90" wrapText="1"/>
    </xf>
    <xf numFmtId="4" fontId="4" fillId="2" borderId="1" xfId="0" applyNumberFormat="1" applyFont="1" applyFill="1" applyBorder="1" applyAlignment="1">
      <alignment textRotation="90" wrapText="1"/>
    </xf>
    <xf numFmtId="4" fontId="2" fillId="2" borderId="1" xfId="0" applyNumberFormat="1" applyFont="1" applyFill="1" applyBorder="1" applyAlignment="1">
      <alignment textRotation="90" wrapText="1"/>
    </xf>
    <xf numFmtId="0" fontId="1" fillId="3" borderId="0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textRotation="90" wrapText="1"/>
    </xf>
    <xf numFmtId="0" fontId="4" fillId="2" borderId="2" xfId="0" applyNumberFormat="1" applyFont="1" applyFill="1" applyBorder="1" applyAlignment="1">
      <alignment horizontal="center" textRotation="90" wrapText="1"/>
    </xf>
    <xf numFmtId="4" fontId="13" fillId="2" borderId="1" xfId="0" applyNumberFormat="1" applyFont="1" applyFill="1" applyBorder="1" applyAlignment="1">
      <alignment horizontal="center" textRotation="90" wrapText="1"/>
    </xf>
    <xf numFmtId="4" fontId="2" fillId="2" borderId="1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textRotation="90" wrapText="1"/>
    </xf>
    <xf numFmtId="4" fontId="2" fillId="2" borderId="5" xfId="0" applyNumberFormat="1" applyFont="1" applyFill="1" applyBorder="1" applyAlignment="1">
      <alignment horizontal="center" textRotation="90" wrapText="1"/>
    </xf>
    <xf numFmtId="4" fontId="4" fillId="2" borderId="5" xfId="0" applyNumberFormat="1" applyFont="1" applyFill="1" applyBorder="1" applyAlignment="1">
      <alignment horizontal="center" textRotation="90" wrapText="1"/>
    </xf>
    <xf numFmtId="4" fontId="2" fillId="2" borderId="6" xfId="0" applyNumberFormat="1" applyFont="1" applyFill="1" applyBorder="1" applyAlignment="1">
      <alignment horizontal="center" textRotation="90" wrapText="1"/>
    </xf>
    <xf numFmtId="4" fontId="4" fillId="2" borderId="1" xfId="0" applyNumberFormat="1" applyFont="1" applyFill="1" applyBorder="1" applyAlignment="1">
      <alignment horizontal="right" vertical="center" textRotation="90" wrapText="1"/>
    </xf>
    <xf numFmtId="4" fontId="2" fillId="2" borderId="1" xfId="0" applyNumberFormat="1" applyFont="1" applyFill="1" applyBorder="1" applyAlignment="1">
      <alignment horizontal="right" vertical="center" textRotation="90" wrapText="1"/>
    </xf>
    <xf numFmtId="0" fontId="4" fillId="2" borderId="4" xfId="0" applyNumberFormat="1" applyFont="1" applyFill="1" applyBorder="1" applyAlignment="1">
      <alignment horizontal="center" textRotation="90" wrapText="1"/>
    </xf>
    <xf numFmtId="0" fontId="2" fillId="2" borderId="5" xfId="0" applyNumberFormat="1" applyFont="1" applyFill="1" applyBorder="1" applyAlignment="1">
      <alignment horizontal="center" textRotation="90" wrapText="1"/>
    </xf>
    <xf numFmtId="0" fontId="4" fillId="2" borderId="5" xfId="0" applyNumberFormat="1" applyFont="1" applyFill="1" applyBorder="1" applyAlignment="1">
      <alignment horizontal="center" textRotation="90" wrapText="1"/>
    </xf>
    <xf numFmtId="0" fontId="2" fillId="2" borderId="6" xfId="0" applyNumberFormat="1" applyFont="1" applyFill="1" applyBorder="1" applyAlignment="1">
      <alignment horizontal="center" textRotation="90" wrapText="1"/>
    </xf>
    <xf numFmtId="14" fontId="4" fillId="2" borderId="1" xfId="0" applyNumberFormat="1" applyFont="1" applyFill="1" applyBorder="1" applyAlignment="1">
      <alignment horizontal="center" vertical="center" textRotation="90" wrapText="1"/>
    </xf>
    <xf numFmtId="14" fontId="2" fillId="2" borderId="1" xfId="0" applyNumberFormat="1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right" textRotation="90" wrapText="1"/>
    </xf>
    <xf numFmtId="4" fontId="2" fillId="2" borderId="1" xfId="0" applyNumberFormat="1" applyFont="1" applyFill="1" applyBorder="1" applyAlignment="1">
      <alignment horizontal="right" textRotation="90" wrapText="1"/>
    </xf>
    <xf numFmtId="4" fontId="4" fillId="2" borderId="3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right" wrapText="1"/>
    </xf>
    <xf numFmtId="0" fontId="4" fillId="2" borderId="2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right" wrapText="1"/>
    </xf>
    <xf numFmtId="0" fontId="2" fillId="2" borderId="2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B1" zoomScale="70" zoomScaleNormal="70" workbookViewId="0">
      <selection activeCell="M6" sqref="M6"/>
    </sheetView>
  </sheetViews>
  <sheetFormatPr defaultRowHeight="15.75" x14ac:dyDescent="0.25"/>
  <cols>
    <col min="1" max="1" width="4.7109375" style="18" customWidth="1"/>
    <col min="2" max="2" width="48.5703125" style="18" customWidth="1"/>
    <col min="3" max="3" width="10" style="18" customWidth="1"/>
    <col min="4" max="4" width="11.42578125" style="18" customWidth="1"/>
    <col min="5" max="5" width="15" style="18" customWidth="1"/>
    <col min="6" max="6" width="5.85546875" style="18" customWidth="1"/>
    <col min="7" max="7" width="6.28515625" style="18" customWidth="1"/>
    <col min="8" max="8" width="14.5703125" style="18" customWidth="1"/>
    <col min="9" max="9" width="14" style="93" customWidth="1"/>
    <col min="10" max="10" width="13.28515625" style="18" customWidth="1"/>
    <col min="11" max="11" width="9.42578125" style="18" customWidth="1"/>
    <col min="12" max="12" width="17" style="32" customWidth="1"/>
    <col min="13" max="13" width="5.85546875" style="18" customWidth="1"/>
    <col min="14" max="14" width="7" style="18" customWidth="1"/>
    <col min="15" max="15" width="5.5703125" style="18" customWidth="1"/>
    <col min="16" max="16" width="17.7109375" style="18" customWidth="1"/>
    <col min="17" max="17" width="13.42578125" style="18" customWidth="1"/>
    <col min="18" max="18" width="14.42578125" style="118" customWidth="1"/>
    <col min="19" max="19" width="10.140625" style="18" customWidth="1"/>
    <col min="20" max="20" width="9.140625" style="104"/>
    <col min="21" max="16384" width="9.140625" style="18"/>
  </cols>
  <sheetData>
    <row r="1" spans="1:20" ht="46.5" customHeight="1" x14ac:dyDescent="0.25">
      <c r="A1" s="1"/>
      <c r="B1" s="131" t="s">
        <v>145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07"/>
      <c r="S1" s="2"/>
      <c r="T1" s="2"/>
    </row>
    <row r="2" spans="1:20" ht="28.5" customHeight="1" x14ac:dyDescent="0.25">
      <c r="A2" s="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07"/>
      <c r="S2" s="2"/>
      <c r="T2" s="2"/>
    </row>
    <row r="3" spans="1:20" s="23" customFormat="1" ht="41.25" customHeight="1" x14ac:dyDescent="0.25">
      <c r="A3" s="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08"/>
      <c r="S3" s="123" t="s">
        <v>0</v>
      </c>
      <c r="T3" s="123"/>
    </row>
    <row r="4" spans="1:20" x14ac:dyDescent="0.25">
      <c r="A4" s="157" t="s">
        <v>1</v>
      </c>
      <c r="B4" s="159" t="s">
        <v>2</v>
      </c>
      <c r="C4" s="161" t="s">
        <v>3</v>
      </c>
      <c r="D4" s="126"/>
      <c r="E4" s="136" t="s">
        <v>4</v>
      </c>
      <c r="F4" s="142" t="s">
        <v>5</v>
      </c>
      <c r="G4" s="127" t="s">
        <v>6</v>
      </c>
      <c r="H4" s="124" t="s">
        <v>7</v>
      </c>
      <c r="I4" s="126" t="s">
        <v>8</v>
      </c>
      <c r="J4" s="126"/>
      <c r="K4" s="127" t="s">
        <v>9</v>
      </c>
      <c r="L4" s="126" t="s">
        <v>10</v>
      </c>
      <c r="M4" s="126"/>
      <c r="N4" s="126"/>
      <c r="O4" s="126"/>
      <c r="P4" s="126"/>
      <c r="Q4" s="148" t="s">
        <v>11</v>
      </c>
      <c r="R4" s="129" t="s">
        <v>12</v>
      </c>
      <c r="S4" s="146" t="s">
        <v>13</v>
      </c>
      <c r="T4" s="140" t="s">
        <v>14</v>
      </c>
    </row>
    <row r="5" spans="1:20" s="23" customFormat="1" x14ac:dyDescent="0.25">
      <c r="A5" s="158"/>
      <c r="B5" s="160"/>
      <c r="C5" s="132" t="s">
        <v>15</v>
      </c>
      <c r="D5" s="132" t="s">
        <v>16</v>
      </c>
      <c r="E5" s="137"/>
      <c r="F5" s="143"/>
      <c r="G5" s="128"/>
      <c r="H5" s="125"/>
      <c r="I5" s="134" t="s">
        <v>17</v>
      </c>
      <c r="J5" s="125" t="s">
        <v>18</v>
      </c>
      <c r="K5" s="128"/>
      <c r="L5" s="135" t="s">
        <v>17</v>
      </c>
      <c r="M5" s="135" t="s">
        <v>19</v>
      </c>
      <c r="N5" s="135"/>
      <c r="O5" s="135"/>
      <c r="P5" s="135"/>
      <c r="Q5" s="149"/>
      <c r="R5" s="130"/>
      <c r="S5" s="147"/>
      <c r="T5" s="141"/>
    </row>
    <row r="6" spans="1:20" ht="156.75" customHeight="1" x14ac:dyDescent="0.25">
      <c r="A6" s="157"/>
      <c r="B6" s="159"/>
      <c r="C6" s="133"/>
      <c r="D6" s="133"/>
      <c r="E6" s="138"/>
      <c r="F6" s="144"/>
      <c r="G6" s="127"/>
      <c r="H6" s="124"/>
      <c r="I6" s="134"/>
      <c r="J6" s="124"/>
      <c r="K6" s="127"/>
      <c r="L6" s="126"/>
      <c r="M6" s="24" t="s">
        <v>20</v>
      </c>
      <c r="N6" s="24" t="s">
        <v>32</v>
      </c>
      <c r="O6" s="24" t="s">
        <v>21</v>
      </c>
      <c r="P6" s="24" t="s">
        <v>22</v>
      </c>
      <c r="Q6" s="148"/>
      <c r="R6" s="129"/>
      <c r="S6" s="146"/>
      <c r="T6" s="140"/>
    </row>
    <row r="7" spans="1:20" s="23" customFormat="1" ht="30" customHeight="1" x14ac:dyDescent="0.25">
      <c r="A7" s="158"/>
      <c r="B7" s="160"/>
      <c r="C7" s="132"/>
      <c r="D7" s="132"/>
      <c r="E7" s="139"/>
      <c r="F7" s="145"/>
      <c r="G7" s="128"/>
      <c r="H7" s="14" t="s">
        <v>23</v>
      </c>
      <c r="I7" s="86" t="s">
        <v>23</v>
      </c>
      <c r="J7" s="14" t="s">
        <v>23</v>
      </c>
      <c r="K7" s="19" t="s">
        <v>24</v>
      </c>
      <c r="L7" s="14" t="s">
        <v>25</v>
      </c>
      <c r="M7" s="14" t="s">
        <v>25</v>
      </c>
      <c r="N7" s="14" t="s">
        <v>25</v>
      </c>
      <c r="O7" s="14" t="s">
        <v>25</v>
      </c>
      <c r="P7" s="14" t="s">
        <v>25</v>
      </c>
      <c r="Q7" s="14" t="s">
        <v>26</v>
      </c>
      <c r="R7" s="109" t="s">
        <v>26</v>
      </c>
      <c r="S7" s="147"/>
      <c r="T7" s="141"/>
    </row>
    <row r="8" spans="1:20" s="25" customFormat="1" ht="15.75" customHeight="1" x14ac:dyDescent="0.25">
      <c r="A8" s="85">
        <v>1</v>
      </c>
      <c r="B8" s="19">
        <v>2</v>
      </c>
      <c r="C8" s="1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20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 t="s">
        <v>27</v>
      </c>
      <c r="R8" s="110">
        <v>18</v>
      </c>
      <c r="S8" s="19">
        <v>19</v>
      </c>
      <c r="T8" s="20">
        <v>20</v>
      </c>
    </row>
    <row r="9" spans="1:20" s="25" customFormat="1" ht="15.75" customHeight="1" x14ac:dyDescent="0.25">
      <c r="A9" s="152" t="s">
        <v>33</v>
      </c>
      <c r="B9" s="153"/>
      <c r="C9" s="7" t="s">
        <v>28</v>
      </c>
      <c r="D9" s="3" t="s">
        <v>28</v>
      </c>
      <c r="E9" s="3" t="s">
        <v>28</v>
      </c>
      <c r="F9" s="3" t="s">
        <v>28</v>
      </c>
      <c r="G9" s="3" t="s">
        <v>28</v>
      </c>
      <c r="H9" s="21">
        <f>H10+H21+H38</f>
        <v>60977.529999999992</v>
      </c>
      <c r="I9" s="87">
        <f>I10+I21+I38</f>
        <v>43895.6</v>
      </c>
      <c r="J9" s="21">
        <f>J10+J21+J38</f>
        <v>36686.199999999997</v>
      </c>
      <c r="K9" s="83" t="s">
        <v>143</v>
      </c>
      <c r="L9" s="21">
        <f>L10+L21+L38</f>
        <v>46505574.716000006</v>
      </c>
      <c r="M9" s="21">
        <f>M10+M28+M45</f>
        <v>0</v>
      </c>
      <c r="N9" s="21">
        <f>N10+N28+N45</f>
        <v>0</v>
      </c>
      <c r="O9" s="21">
        <f>O10+O28+O45</f>
        <v>0</v>
      </c>
      <c r="P9" s="21">
        <f>P10+P21+P38</f>
        <v>46505574.716000006</v>
      </c>
      <c r="Q9" s="20" t="s">
        <v>28</v>
      </c>
      <c r="R9" s="110" t="s">
        <v>28</v>
      </c>
      <c r="S9" s="20" t="s">
        <v>28</v>
      </c>
      <c r="T9" s="20" t="s">
        <v>28</v>
      </c>
    </row>
    <row r="10" spans="1:20" s="26" customFormat="1" x14ac:dyDescent="0.25">
      <c r="A10" s="154" t="s">
        <v>31</v>
      </c>
      <c r="B10" s="154"/>
      <c r="C10" s="5" t="s">
        <v>28</v>
      </c>
      <c r="D10" s="4" t="s">
        <v>28</v>
      </c>
      <c r="E10" s="4" t="s">
        <v>28</v>
      </c>
      <c r="F10" s="4" t="s">
        <v>28</v>
      </c>
      <c r="G10" s="4" t="s">
        <v>28</v>
      </c>
      <c r="H10" s="4">
        <f>SUM(H11:H20)</f>
        <v>13891.599999999999</v>
      </c>
      <c r="I10" s="87">
        <f>SUM(I11:I20)</f>
        <v>9995.1999999999989</v>
      </c>
      <c r="J10" s="4">
        <f>SUM(J11:J20)</f>
        <v>8120.3</v>
      </c>
      <c r="K10" s="83" t="s">
        <v>142</v>
      </c>
      <c r="L10" s="4">
        <f xml:space="preserve"> SUM(L11:L20)</f>
        <v>11847636.725000001</v>
      </c>
      <c r="M10" s="4"/>
      <c r="N10" s="4"/>
      <c r="O10" s="4"/>
      <c r="P10" s="4">
        <f>SUM(P11:P20)</f>
        <v>11847636.725000001</v>
      </c>
      <c r="Q10" s="6" t="s">
        <v>28</v>
      </c>
      <c r="R10" s="111" t="s">
        <v>28</v>
      </c>
      <c r="S10" s="6" t="s">
        <v>28</v>
      </c>
      <c r="T10" s="6" t="s">
        <v>28</v>
      </c>
    </row>
    <row r="11" spans="1:20" s="23" customFormat="1" x14ac:dyDescent="0.25">
      <c r="A11" s="10">
        <v>1</v>
      </c>
      <c r="B11" s="94" t="s">
        <v>81</v>
      </c>
      <c r="C11" s="95">
        <v>1940</v>
      </c>
      <c r="D11" s="95">
        <v>1940</v>
      </c>
      <c r="E11" s="96" t="s">
        <v>101</v>
      </c>
      <c r="F11" s="96">
        <v>3</v>
      </c>
      <c r="G11" s="96">
        <v>4</v>
      </c>
      <c r="H11" s="15">
        <v>2142</v>
      </c>
      <c r="I11" s="88">
        <v>1623.4</v>
      </c>
      <c r="J11" s="8">
        <v>1623.4</v>
      </c>
      <c r="K11" s="9">
        <v>55</v>
      </c>
      <c r="L11" s="8">
        <f>I11*R11</f>
        <v>2195875.7760000001</v>
      </c>
      <c r="M11" s="8"/>
      <c r="N11" s="8"/>
      <c r="O11" s="8"/>
      <c r="P11" s="8">
        <f>L11</f>
        <v>2195875.7760000001</v>
      </c>
      <c r="Q11" s="34">
        <f>L11/I11</f>
        <v>1352.6399999999999</v>
      </c>
      <c r="R11" s="112">
        <f>302.78+1049.86</f>
        <v>1352.6399999999999</v>
      </c>
      <c r="S11" s="17">
        <v>2018</v>
      </c>
      <c r="T11" s="102" t="s">
        <v>106</v>
      </c>
    </row>
    <row r="12" spans="1:20" s="23" customFormat="1" x14ac:dyDescent="0.25">
      <c r="A12" s="11">
        <v>2</v>
      </c>
      <c r="B12" s="94" t="s">
        <v>100</v>
      </c>
      <c r="C12" s="95">
        <v>1940</v>
      </c>
      <c r="D12" s="95">
        <v>1940</v>
      </c>
      <c r="E12" s="96" t="s">
        <v>101</v>
      </c>
      <c r="F12" s="96">
        <v>3</v>
      </c>
      <c r="G12" s="96">
        <v>4</v>
      </c>
      <c r="H12" s="15">
        <v>1533.5</v>
      </c>
      <c r="I12" s="88">
        <v>1282.9000000000001</v>
      </c>
      <c r="J12" s="17">
        <v>1205</v>
      </c>
      <c r="K12" s="17">
        <v>55</v>
      </c>
      <c r="L12" s="8">
        <f>I12*R12</f>
        <v>1346865.3939999999</v>
      </c>
      <c r="M12" s="17"/>
      <c r="N12" s="17"/>
      <c r="O12" s="17"/>
      <c r="P12" s="8">
        <f>L12</f>
        <v>1346865.3939999999</v>
      </c>
      <c r="Q12" s="34">
        <f t="shared" ref="Q12:Q20" si="0">L12/I12</f>
        <v>1049.8599999999999</v>
      </c>
      <c r="R12" s="113">
        <v>1049.8599999999999</v>
      </c>
      <c r="S12" s="17">
        <v>2018</v>
      </c>
      <c r="T12" s="103" t="s">
        <v>106</v>
      </c>
    </row>
    <row r="13" spans="1:20" x14ac:dyDescent="0.25">
      <c r="A13" s="11">
        <v>3</v>
      </c>
      <c r="B13" s="94" t="s">
        <v>82</v>
      </c>
      <c r="C13" s="95">
        <v>1944</v>
      </c>
      <c r="D13" s="95">
        <v>1944</v>
      </c>
      <c r="E13" s="96" t="s">
        <v>101</v>
      </c>
      <c r="F13" s="96">
        <v>3</v>
      </c>
      <c r="G13" s="96">
        <v>4</v>
      </c>
      <c r="H13" s="15">
        <v>2444</v>
      </c>
      <c r="I13" s="88">
        <v>875.4</v>
      </c>
      <c r="J13" s="16">
        <v>875.4</v>
      </c>
      <c r="K13" s="16">
        <v>25</v>
      </c>
      <c r="L13" s="8">
        <f t="shared" ref="L13:L16" si="1">I13*R13</f>
        <v>919047.4439999999</v>
      </c>
      <c r="M13" s="16"/>
      <c r="N13" s="16"/>
      <c r="O13" s="16"/>
      <c r="P13" s="8">
        <f t="shared" ref="P13:P14" si="2">L13</f>
        <v>919047.4439999999</v>
      </c>
      <c r="Q13" s="34">
        <f t="shared" si="0"/>
        <v>1049.8599999999999</v>
      </c>
      <c r="R13" s="114">
        <v>1049.8599999999999</v>
      </c>
      <c r="S13" s="16">
        <v>2018</v>
      </c>
      <c r="T13" s="100" t="s">
        <v>106</v>
      </c>
    </row>
    <row r="14" spans="1:20" s="23" customFormat="1" x14ac:dyDescent="0.25">
      <c r="A14" s="11">
        <v>4</v>
      </c>
      <c r="B14" s="94" t="s">
        <v>85</v>
      </c>
      <c r="C14" s="95">
        <v>1952</v>
      </c>
      <c r="D14" s="95">
        <v>1952</v>
      </c>
      <c r="E14" s="96" t="s">
        <v>101</v>
      </c>
      <c r="F14" s="96">
        <v>3</v>
      </c>
      <c r="G14" s="96">
        <v>2</v>
      </c>
      <c r="H14" s="15">
        <v>1672.7</v>
      </c>
      <c r="I14" s="88">
        <v>1110.8</v>
      </c>
      <c r="J14" s="17">
        <v>1110.8</v>
      </c>
      <c r="K14" s="17">
        <v>43</v>
      </c>
      <c r="L14" s="8">
        <f t="shared" si="1"/>
        <v>741858.88800000004</v>
      </c>
      <c r="M14" s="17"/>
      <c r="N14" s="17"/>
      <c r="O14" s="17"/>
      <c r="P14" s="8">
        <f t="shared" si="2"/>
        <v>741858.88800000004</v>
      </c>
      <c r="Q14" s="34">
        <f>L14/I14</f>
        <v>667.86</v>
      </c>
      <c r="R14" s="113">
        <v>667.86</v>
      </c>
      <c r="S14" s="17">
        <v>2018</v>
      </c>
      <c r="T14" s="103" t="s">
        <v>106</v>
      </c>
    </row>
    <row r="15" spans="1:20" s="40" customFormat="1" x14ac:dyDescent="0.25">
      <c r="A15" s="63">
        <v>5</v>
      </c>
      <c r="B15" s="97" t="s">
        <v>128</v>
      </c>
      <c r="C15" s="98">
        <v>1959</v>
      </c>
      <c r="D15" s="68">
        <v>1959</v>
      </c>
      <c r="E15" s="69" t="s">
        <v>101</v>
      </c>
      <c r="F15" s="68">
        <v>2</v>
      </c>
      <c r="G15" s="68">
        <v>2</v>
      </c>
      <c r="H15" s="68">
        <v>640.70000000000005</v>
      </c>
      <c r="I15" s="89">
        <v>592.5</v>
      </c>
      <c r="J15" s="68">
        <v>296.39999999999998</v>
      </c>
      <c r="K15" s="64">
        <v>24</v>
      </c>
      <c r="L15" s="8">
        <f>I15*R15</f>
        <v>967629.52500000002</v>
      </c>
      <c r="M15" s="64"/>
      <c r="N15" s="64"/>
      <c r="O15" s="64"/>
      <c r="P15" s="8">
        <f t="shared" ref="P15:P20" si="3">L15</f>
        <v>967629.52500000002</v>
      </c>
      <c r="Q15" s="34">
        <f t="shared" si="0"/>
        <v>1633.13</v>
      </c>
      <c r="R15" s="115">
        <v>1633.13</v>
      </c>
      <c r="S15" s="47">
        <v>2018</v>
      </c>
      <c r="T15" s="179" t="s">
        <v>144</v>
      </c>
    </row>
    <row r="16" spans="1:20" s="40" customFormat="1" x14ac:dyDescent="0.25">
      <c r="A16" s="65">
        <v>6</v>
      </c>
      <c r="B16" s="66" t="s">
        <v>129</v>
      </c>
      <c r="C16" s="66">
        <v>1960</v>
      </c>
      <c r="D16" s="66">
        <v>1960</v>
      </c>
      <c r="E16" s="99" t="s">
        <v>101</v>
      </c>
      <c r="F16" s="66">
        <v>2</v>
      </c>
      <c r="G16" s="66">
        <v>2</v>
      </c>
      <c r="H16" s="66">
        <v>672.8</v>
      </c>
      <c r="I16" s="90">
        <v>624.9</v>
      </c>
      <c r="J16" s="66">
        <v>397.8</v>
      </c>
      <c r="K16" s="67">
        <v>22</v>
      </c>
      <c r="L16" s="8">
        <f t="shared" si="1"/>
        <v>1020542.937</v>
      </c>
      <c r="M16" s="67"/>
      <c r="N16" s="67"/>
      <c r="O16" s="67"/>
      <c r="P16" s="8">
        <f t="shared" si="3"/>
        <v>1020542.937</v>
      </c>
      <c r="Q16" s="34">
        <f t="shared" si="0"/>
        <v>1633.13</v>
      </c>
      <c r="R16" s="116">
        <v>1633.13</v>
      </c>
      <c r="S16" s="47">
        <v>2018</v>
      </c>
      <c r="T16" s="99" t="s">
        <v>106</v>
      </c>
    </row>
    <row r="17" spans="1:20" s="40" customFormat="1" x14ac:dyDescent="0.25">
      <c r="A17" s="11">
        <v>7</v>
      </c>
      <c r="B17" s="94" t="s">
        <v>117</v>
      </c>
      <c r="C17" s="95">
        <v>1960</v>
      </c>
      <c r="D17" s="95">
        <v>1960</v>
      </c>
      <c r="E17" s="96" t="s">
        <v>101</v>
      </c>
      <c r="F17" s="96">
        <v>3</v>
      </c>
      <c r="G17" s="96">
        <v>2</v>
      </c>
      <c r="H17" s="15">
        <v>1936.1</v>
      </c>
      <c r="I17" s="88">
        <v>1395.7</v>
      </c>
      <c r="J17" s="47">
        <v>1080.5999999999999</v>
      </c>
      <c r="K17" s="47">
        <v>36</v>
      </c>
      <c r="L17" s="8">
        <f>I17*R17</f>
        <v>1465289.602</v>
      </c>
      <c r="M17" s="47"/>
      <c r="N17" s="47"/>
      <c r="O17" s="47"/>
      <c r="P17" s="71">
        <f t="shared" si="3"/>
        <v>1465289.602</v>
      </c>
      <c r="Q17" s="34">
        <f t="shared" si="0"/>
        <v>1049.8599999999999</v>
      </c>
      <c r="R17" s="113">
        <v>1049.8599999999999</v>
      </c>
      <c r="S17" s="47">
        <v>2018</v>
      </c>
      <c r="T17" s="100" t="s">
        <v>106</v>
      </c>
    </row>
    <row r="18" spans="1:20" s="40" customFormat="1" x14ac:dyDescent="0.25">
      <c r="A18" s="11">
        <v>8</v>
      </c>
      <c r="B18" s="94" t="s">
        <v>118</v>
      </c>
      <c r="C18" s="95">
        <v>1960</v>
      </c>
      <c r="D18" s="95">
        <v>1960</v>
      </c>
      <c r="E18" s="96" t="s">
        <v>101</v>
      </c>
      <c r="F18" s="96">
        <v>3</v>
      </c>
      <c r="G18" s="96">
        <v>2</v>
      </c>
      <c r="H18" s="15">
        <v>1716.8</v>
      </c>
      <c r="I18" s="88">
        <v>1500.7</v>
      </c>
      <c r="J18" s="47">
        <v>1117.0999999999999</v>
      </c>
      <c r="K18" s="47">
        <v>36</v>
      </c>
      <c r="L18" s="8">
        <f>I18*R18</f>
        <v>1575524.902</v>
      </c>
      <c r="M18" s="47"/>
      <c r="N18" s="47"/>
      <c r="O18" s="47"/>
      <c r="P18" s="71">
        <f t="shared" si="3"/>
        <v>1575524.902</v>
      </c>
      <c r="Q18" s="34">
        <f t="shared" si="0"/>
        <v>1049.8599999999999</v>
      </c>
      <c r="R18" s="113">
        <v>1049.8599999999999</v>
      </c>
      <c r="S18" s="47">
        <v>2018</v>
      </c>
      <c r="T18" s="100" t="s">
        <v>106</v>
      </c>
    </row>
    <row r="19" spans="1:20" s="40" customFormat="1" x14ac:dyDescent="0.25">
      <c r="A19" s="11">
        <v>9</v>
      </c>
      <c r="B19" s="94" t="s">
        <v>130</v>
      </c>
      <c r="C19" s="95">
        <v>1958</v>
      </c>
      <c r="D19" s="95">
        <v>1958</v>
      </c>
      <c r="E19" s="96" t="s">
        <v>101</v>
      </c>
      <c r="F19" s="96">
        <v>2</v>
      </c>
      <c r="G19" s="96">
        <v>2</v>
      </c>
      <c r="H19" s="15">
        <v>412</v>
      </c>
      <c r="I19" s="88">
        <v>371.9</v>
      </c>
      <c r="J19" s="47">
        <v>85.7</v>
      </c>
      <c r="K19" s="47">
        <v>16</v>
      </c>
      <c r="L19" s="8">
        <f>I19*R19</f>
        <v>607361.04700000002</v>
      </c>
      <c r="M19" s="47"/>
      <c r="N19" s="21"/>
      <c r="O19" s="47"/>
      <c r="P19" s="47">
        <f t="shared" si="3"/>
        <v>607361.04700000002</v>
      </c>
      <c r="Q19" s="34">
        <f t="shared" si="0"/>
        <v>1633.13</v>
      </c>
      <c r="R19" s="113">
        <v>1633.13</v>
      </c>
      <c r="S19" s="47">
        <v>2018</v>
      </c>
      <c r="T19" s="180" t="s">
        <v>144</v>
      </c>
    </row>
    <row r="20" spans="1:20" s="40" customFormat="1" x14ac:dyDescent="0.25">
      <c r="A20" s="11">
        <v>10</v>
      </c>
      <c r="B20" s="94" t="s">
        <v>131</v>
      </c>
      <c r="C20" s="95">
        <v>1958</v>
      </c>
      <c r="D20" s="95">
        <v>1958</v>
      </c>
      <c r="E20" s="96" t="s">
        <v>101</v>
      </c>
      <c r="F20" s="96">
        <v>2</v>
      </c>
      <c r="G20" s="96">
        <v>2</v>
      </c>
      <c r="H20" s="15">
        <v>721</v>
      </c>
      <c r="I20" s="88">
        <v>617</v>
      </c>
      <c r="J20" s="47">
        <v>328.1</v>
      </c>
      <c r="K20" s="47">
        <v>24</v>
      </c>
      <c r="L20" s="8">
        <f>I20*R20</f>
        <v>1007641.2100000001</v>
      </c>
      <c r="M20" s="47"/>
      <c r="N20" s="47"/>
      <c r="O20" s="47"/>
      <c r="P20" s="47">
        <f t="shared" si="3"/>
        <v>1007641.2100000001</v>
      </c>
      <c r="Q20" s="34">
        <f t="shared" si="0"/>
        <v>1633.13</v>
      </c>
      <c r="R20" s="113">
        <v>1633.13</v>
      </c>
      <c r="S20" s="47">
        <v>2018</v>
      </c>
      <c r="T20" s="180" t="s">
        <v>144</v>
      </c>
    </row>
    <row r="21" spans="1:20" x14ac:dyDescent="0.25">
      <c r="A21" s="155" t="s">
        <v>29</v>
      </c>
      <c r="B21" s="156"/>
      <c r="C21" s="84" t="s">
        <v>28</v>
      </c>
      <c r="D21" s="21" t="s">
        <v>28</v>
      </c>
      <c r="E21" s="21" t="s">
        <v>28</v>
      </c>
      <c r="F21" s="21" t="s">
        <v>28</v>
      </c>
      <c r="G21" s="21" t="s">
        <v>28</v>
      </c>
      <c r="H21" s="36">
        <f>SUM(H22:H37)</f>
        <v>19481.999999999996</v>
      </c>
      <c r="I21" s="91">
        <f>SUM(I22:I37)</f>
        <v>13783.1</v>
      </c>
      <c r="J21" s="29">
        <f>SUM(J22:J37)</f>
        <v>11012.5</v>
      </c>
      <c r="K21" s="29">
        <f>SUM(K22:K37)</f>
        <v>555</v>
      </c>
      <c r="L21" s="82">
        <f>SUM(L22:L37)</f>
        <v>14978482.054000001</v>
      </c>
      <c r="M21" s="21">
        <f t="shared" ref="M21:O21" si="4">SUM(M22:M37)</f>
        <v>0</v>
      </c>
      <c r="N21" s="21">
        <f t="shared" si="4"/>
        <v>0</v>
      </c>
      <c r="O21" s="21">
        <f t="shared" si="4"/>
        <v>0</v>
      </c>
      <c r="P21" s="21">
        <f>SUM(P22:P37)</f>
        <v>14978482.054000001</v>
      </c>
      <c r="Q21" s="76" t="s">
        <v>28</v>
      </c>
      <c r="R21" s="6" t="s">
        <v>28</v>
      </c>
      <c r="S21" s="6" t="s">
        <v>28</v>
      </c>
      <c r="T21" s="6" t="s">
        <v>28</v>
      </c>
    </row>
    <row r="22" spans="1:20" s="23" customFormat="1" x14ac:dyDescent="0.25">
      <c r="A22" s="10">
        <v>1</v>
      </c>
      <c r="B22" s="94" t="s">
        <v>100</v>
      </c>
      <c r="C22" s="95">
        <v>1940</v>
      </c>
      <c r="D22" s="95">
        <v>1940</v>
      </c>
      <c r="E22" s="96" t="s">
        <v>101</v>
      </c>
      <c r="F22" s="96">
        <v>3</v>
      </c>
      <c r="G22" s="96">
        <v>4</v>
      </c>
      <c r="H22" s="15">
        <v>1533.5</v>
      </c>
      <c r="I22" s="88">
        <v>1282.9000000000001</v>
      </c>
      <c r="J22" s="17">
        <v>1205</v>
      </c>
      <c r="K22" s="17">
        <v>55</v>
      </c>
      <c r="L22" s="27">
        <f>I22*R22</f>
        <v>388436.462</v>
      </c>
      <c r="M22" s="17"/>
      <c r="N22" s="17"/>
      <c r="O22" s="17"/>
      <c r="P22" s="17">
        <f>L22</f>
        <v>388436.462</v>
      </c>
      <c r="Q22" s="17">
        <f>L22/I22</f>
        <v>302.77999999999997</v>
      </c>
      <c r="R22" s="113">
        <f>302.78</f>
        <v>302.77999999999997</v>
      </c>
      <c r="S22" s="17">
        <v>2019</v>
      </c>
      <c r="T22" s="103" t="s">
        <v>106</v>
      </c>
    </row>
    <row r="23" spans="1:20" x14ac:dyDescent="0.25">
      <c r="A23" s="11">
        <v>2</v>
      </c>
      <c r="B23" s="94" t="s">
        <v>84</v>
      </c>
      <c r="C23" s="95">
        <v>1952</v>
      </c>
      <c r="D23" s="95">
        <v>1952</v>
      </c>
      <c r="E23" s="96" t="s">
        <v>102</v>
      </c>
      <c r="F23" s="96">
        <v>2</v>
      </c>
      <c r="G23" s="96">
        <v>1</v>
      </c>
      <c r="H23" s="15">
        <v>397.3</v>
      </c>
      <c r="I23" s="88">
        <v>362.4</v>
      </c>
      <c r="J23" s="16">
        <v>314.5</v>
      </c>
      <c r="K23" s="16">
        <v>12</v>
      </c>
      <c r="L23" s="27">
        <f t="shared" ref="L23:L37" si="5">I23*R23</f>
        <v>591846.31200000003</v>
      </c>
      <c r="M23" s="16"/>
      <c r="N23" s="16"/>
      <c r="O23" s="16"/>
      <c r="P23" s="47">
        <f t="shared" ref="P23:P37" si="6">L23</f>
        <v>591846.31200000003</v>
      </c>
      <c r="Q23" s="47">
        <f t="shared" ref="Q23:Q32" si="7">L23/I23</f>
        <v>1633.13</v>
      </c>
      <c r="R23" s="114">
        <v>1633.13</v>
      </c>
      <c r="S23" s="16">
        <v>2019</v>
      </c>
      <c r="T23" s="100" t="s">
        <v>106</v>
      </c>
    </row>
    <row r="24" spans="1:20" s="23" customFormat="1" x14ac:dyDescent="0.25">
      <c r="A24" s="10">
        <v>3</v>
      </c>
      <c r="B24" s="94" t="s">
        <v>85</v>
      </c>
      <c r="C24" s="95">
        <v>1952</v>
      </c>
      <c r="D24" s="95">
        <v>1952</v>
      </c>
      <c r="E24" s="96" t="s">
        <v>101</v>
      </c>
      <c r="F24" s="96">
        <v>3</v>
      </c>
      <c r="G24" s="96">
        <v>2</v>
      </c>
      <c r="H24" s="15">
        <v>1672.7</v>
      </c>
      <c r="I24" s="88">
        <v>1110.8</v>
      </c>
      <c r="J24" s="17">
        <v>1110.8</v>
      </c>
      <c r="K24" s="17">
        <v>46</v>
      </c>
      <c r="L24" s="27">
        <f t="shared" si="5"/>
        <v>1166184.4879999999</v>
      </c>
      <c r="M24" s="17"/>
      <c r="N24" s="17"/>
      <c r="O24" s="17"/>
      <c r="P24" s="47">
        <f t="shared" si="6"/>
        <v>1166184.4879999999</v>
      </c>
      <c r="Q24" s="47">
        <f t="shared" si="7"/>
        <v>1049.8599999999999</v>
      </c>
      <c r="R24" s="113">
        <v>1049.8599999999999</v>
      </c>
      <c r="S24" s="17">
        <v>2019</v>
      </c>
      <c r="T24" s="103" t="s">
        <v>106</v>
      </c>
    </row>
    <row r="25" spans="1:20" s="23" customFormat="1" x14ac:dyDescent="0.25">
      <c r="A25" s="11">
        <v>4</v>
      </c>
      <c r="B25" s="94" t="s">
        <v>104</v>
      </c>
      <c r="C25" s="95">
        <v>1953</v>
      </c>
      <c r="D25" s="95">
        <v>1953</v>
      </c>
      <c r="E25" s="96" t="s">
        <v>101</v>
      </c>
      <c r="F25" s="96">
        <v>2</v>
      </c>
      <c r="G25" s="96">
        <v>2</v>
      </c>
      <c r="H25" s="15">
        <v>1308.0999999999999</v>
      </c>
      <c r="I25" s="88">
        <v>720</v>
      </c>
      <c r="J25" s="17">
        <v>526.29999999999995</v>
      </c>
      <c r="K25" s="17">
        <v>57</v>
      </c>
      <c r="L25" s="27">
        <f t="shared" si="5"/>
        <v>1656712.8000000003</v>
      </c>
      <c r="M25" s="17"/>
      <c r="N25" s="17"/>
      <c r="O25" s="17"/>
      <c r="P25" s="47">
        <f t="shared" si="6"/>
        <v>1656712.8000000003</v>
      </c>
      <c r="Q25" s="47">
        <f>L25/I25</f>
        <v>2300.9900000000002</v>
      </c>
      <c r="R25" s="114">
        <f>1633.13+667.86</f>
        <v>2300.9900000000002</v>
      </c>
      <c r="S25" s="17">
        <v>2019</v>
      </c>
      <c r="T25" s="103" t="s">
        <v>106</v>
      </c>
    </row>
    <row r="26" spans="1:20" x14ac:dyDescent="0.25">
      <c r="A26" s="11">
        <v>5</v>
      </c>
      <c r="B26" s="94" t="s">
        <v>86</v>
      </c>
      <c r="C26" s="95">
        <v>1953</v>
      </c>
      <c r="D26" s="95">
        <v>1953</v>
      </c>
      <c r="E26" s="96" t="s">
        <v>102</v>
      </c>
      <c r="F26" s="96">
        <v>2</v>
      </c>
      <c r="G26" s="96">
        <v>1</v>
      </c>
      <c r="H26" s="15">
        <v>504.8</v>
      </c>
      <c r="I26" s="88">
        <v>484.8</v>
      </c>
      <c r="J26" s="16">
        <v>484.8</v>
      </c>
      <c r="K26" s="16">
        <v>10</v>
      </c>
      <c r="L26" s="27">
        <f t="shared" si="5"/>
        <v>791741.42400000012</v>
      </c>
      <c r="M26" s="16"/>
      <c r="N26" s="16"/>
      <c r="O26" s="16"/>
      <c r="P26" s="47">
        <f t="shared" si="6"/>
        <v>791741.42400000012</v>
      </c>
      <c r="Q26" s="47">
        <f t="shared" si="7"/>
        <v>1633.13</v>
      </c>
      <c r="R26" s="114">
        <v>1633.13</v>
      </c>
      <c r="S26" s="16">
        <v>2019</v>
      </c>
      <c r="T26" s="100" t="s">
        <v>106</v>
      </c>
    </row>
    <row r="27" spans="1:20" s="23" customFormat="1" x14ac:dyDescent="0.25">
      <c r="A27" s="10">
        <v>6</v>
      </c>
      <c r="B27" s="94" t="s">
        <v>87</v>
      </c>
      <c r="C27" s="95">
        <v>1953</v>
      </c>
      <c r="D27" s="95">
        <v>1953</v>
      </c>
      <c r="E27" s="96" t="s">
        <v>101</v>
      </c>
      <c r="F27" s="96">
        <v>2</v>
      </c>
      <c r="G27" s="96">
        <v>1</v>
      </c>
      <c r="H27" s="15">
        <v>570.20000000000005</v>
      </c>
      <c r="I27" s="88">
        <v>504.9</v>
      </c>
      <c r="J27" s="17">
        <v>383.4</v>
      </c>
      <c r="K27" s="17">
        <v>30</v>
      </c>
      <c r="L27" s="27">
        <f t="shared" si="5"/>
        <v>337202.51399999997</v>
      </c>
      <c r="M27" s="17"/>
      <c r="N27" s="17"/>
      <c r="O27" s="17"/>
      <c r="P27" s="47">
        <f t="shared" si="6"/>
        <v>337202.51399999997</v>
      </c>
      <c r="Q27" s="47">
        <f t="shared" si="7"/>
        <v>667.86</v>
      </c>
      <c r="R27" s="113">
        <v>667.86</v>
      </c>
      <c r="S27" s="17">
        <v>2019</v>
      </c>
      <c r="T27" s="103" t="s">
        <v>106</v>
      </c>
    </row>
    <row r="28" spans="1:20" s="26" customFormat="1" ht="15.75" customHeight="1" x14ac:dyDescent="0.25">
      <c r="A28" s="11">
        <v>7</v>
      </c>
      <c r="B28" s="94" t="s">
        <v>92</v>
      </c>
      <c r="C28" s="95">
        <v>1955</v>
      </c>
      <c r="D28" s="95">
        <v>1955</v>
      </c>
      <c r="E28" s="96" t="s">
        <v>101</v>
      </c>
      <c r="F28" s="96">
        <v>2</v>
      </c>
      <c r="G28" s="96">
        <v>2</v>
      </c>
      <c r="H28" s="15">
        <v>1174.5</v>
      </c>
      <c r="I28" s="88">
        <v>637.79999999999995</v>
      </c>
      <c r="J28" s="16">
        <v>577.79999999999995</v>
      </c>
      <c r="K28" s="16">
        <v>17</v>
      </c>
      <c r="L28" s="27">
        <f t="shared" si="5"/>
        <v>425961.10799999995</v>
      </c>
      <c r="M28" s="29"/>
      <c r="N28" s="29"/>
      <c r="O28" s="29"/>
      <c r="P28" s="47">
        <f t="shared" si="6"/>
        <v>425961.10799999995</v>
      </c>
      <c r="Q28" s="47">
        <f t="shared" si="7"/>
        <v>667.86</v>
      </c>
      <c r="R28" s="114">
        <v>667.86</v>
      </c>
      <c r="S28" s="17">
        <v>2019</v>
      </c>
      <c r="T28" s="100" t="s">
        <v>106</v>
      </c>
    </row>
    <row r="29" spans="1:20" s="23" customFormat="1" x14ac:dyDescent="0.25">
      <c r="A29" s="10">
        <v>8</v>
      </c>
      <c r="B29" s="94" t="s">
        <v>93</v>
      </c>
      <c r="C29" s="95">
        <v>1960</v>
      </c>
      <c r="D29" s="95">
        <v>1960</v>
      </c>
      <c r="E29" s="96" t="s">
        <v>101</v>
      </c>
      <c r="F29" s="96">
        <v>2</v>
      </c>
      <c r="G29" s="96">
        <v>1</v>
      </c>
      <c r="H29" s="15">
        <v>698</v>
      </c>
      <c r="I29" s="88">
        <v>654</v>
      </c>
      <c r="J29" s="17">
        <v>535.1</v>
      </c>
      <c r="K29" s="17">
        <v>26</v>
      </c>
      <c r="L29" s="27">
        <f t="shared" si="5"/>
        <v>198018.12</v>
      </c>
      <c r="M29" s="17"/>
      <c r="N29" s="17"/>
      <c r="O29" s="17"/>
      <c r="P29" s="47">
        <f t="shared" si="6"/>
        <v>198018.12</v>
      </c>
      <c r="Q29" s="47">
        <f t="shared" si="7"/>
        <v>302.77999999999997</v>
      </c>
      <c r="R29" s="113">
        <v>302.77999999999997</v>
      </c>
      <c r="S29" s="17">
        <v>2019</v>
      </c>
      <c r="T29" s="103" t="s">
        <v>106</v>
      </c>
    </row>
    <row r="30" spans="1:20" x14ac:dyDescent="0.25">
      <c r="A30" s="11">
        <v>9</v>
      </c>
      <c r="B30" s="94" t="s">
        <v>94</v>
      </c>
      <c r="C30" s="95">
        <v>1960</v>
      </c>
      <c r="D30" s="95">
        <v>1960</v>
      </c>
      <c r="E30" s="96" t="s">
        <v>101</v>
      </c>
      <c r="F30" s="96">
        <v>5</v>
      </c>
      <c r="G30" s="96">
        <v>4</v>
      </c>
      <c r="H30" s="15">
        <v>5217.1000000000004</v>
      </c>
      <c r="I30" s="88">
        <v>3032.3</v>
      </c>
      <c r="J30" s="16">
        <v>2827.9</v>
      </c>
      <c r="K30" s="16">
        <v>153</v>
      </c>
      <c r="L30" s="27">
        <f t="shared" si="5"/>
        <v>2025151.8780000003</v>
      </c>
      <c r="M30" s="16"/>
      <c r="N30" s="16"/>
      <c r="O30" s="16"/>
      <c r="P30" s="47">
        <f t="shared" si="6"/>
        <v>2025151.8780000003</v>
      </c>
      <c r="Q30" s="47">
        <f t="shared" si="7"/>
        <v>667.86</v>
      </c>
      <c r="R30" s="114">
        <v>667.86</v>
      </c>
      <c r="S30" s="16">
        <v>2019</v>
      </c>
      <c r="T30" s="100" t="s">
        <v>106</v>
      </c>
    </row>
    <row r="31" spans="1:20" s="41" customFormat="1" x14ac:dyDescent="0.25">
      <c r="A31" s="63">
        <v>10</v>
      </c>
      <c r="B31" s="66" t="s">
        <v>133</v>
      </c>
      <c r="C31" s="66">
        <v>1960</v>
      </c>
      <c r="D31" s="66">
        <v>1960</v>
      </c>
      <c r="E31" s="99" t="s">
        <v>101</v>
      </c>
      <c r="F31" s="66">
        <v>2</v>
      </c>
      <c r="G31" s="66">
        <v>2</v>
      </c>
      <c r="H31" s="66">
        <v>681.8</v>
      </c>
      <c r="I31" s="90">
        <v>633</v>
      </c>
      <c r="J31" s="66">
        <v>385.8</v>
      </c>
      <c r="K31" s="66">
        <v>27</v>
      </c>
      <c r="L31" s="27">
        <f t="shared" si="5"/>
        <v>1033771.29</v>
      </c>
      <c r="M31" s="67"/>
      <c r="N31" s="67"/>
      <c r="O31" s="67"/>
      <c r="P31" s="47">
        <f t="shared" si="6"/>
        <v>1033771.29</v>
      </c>
      <c r="Q31" s="47">
        <f t="shared" si="7"/>
        <v>1633.13</v>
      </c>
      <c r="R31" s="116">
        <v>1633.13</v>
      </c>
      <c r="S31" s="46">
        <v>2019</v>
      </c>
      <c r="T31" s="100" t="s">
        <v>106</v>
      </c>
    </row>
    <row r="32" spans="1:20" s="41" customFormat="1" x14ac:dyDescent="0.25">
      <c r="A32" s="65">
        <v>11</v>
      </c>
      <c r="B32" s="66" t="s">
        <v>134</v>
      </c>
      <c r="C32" s="66">
        <v>1960</v>
      </c>
      <c r="D32" s="66">
        <v>1960</v>
      </c>
      <c r="E32" s="99" t="s">
        <v>101</v>
      </c>
      <c r="F32" s="66">
        <v>2</v>
      </c>
      <c r="G32" s="66">
        <v>2</v>
      </c>
      <c r="H32" s="66">
        <v>673.1</v>
      </c>
      <c r="I32" s="90">
        <v>625.5</v>
      </c>
      <c r="J32" s="66">
        <v>424.2</v>
      </c>
      <c r="K32" s="66">
        <v>17</v>
      </c>
      <c r="L32" s="72">
        <f t="shared" si="5"/>
        <v>1021522.8150000001</v>
      </c>
      <c r="M32" s="67"/>
      <c r="N32" s="67"/>
      <c r="O32" s="67"/>
      <c r="P32" s="71">
        <f t="shared" si="6"/>
        <v>1021522.8150000001</v>
      </c>
      <c r="Q32" s="47">
        <f t="shared" si="7"/>
        <v>1633.13</v>
      </c>
      <c r="R32" s="116">
        <v>1633.13</v>
      </c>
      <c r="S32" s="46">
        <v>2019</v>
      </c>
      <c r="T32" s="100" t="s">
        <v>144</v>
      </c>
    </row>
    <row r="33" spans="1:20" s="41" customFormat="1" x14ac:dyDescent="0.25">
      <c r="A33" s="11">
        <v>12</v>
      </c>
      <c r="B33" s="33" t="s">
        <v>114</v>
      </c>
      <c r="C33" s="100">
        <v>1991</v>
      </c>
      <c r="D33" s="100">
        <v>1991</v>
      </c>
      <c r="E33" s="100" t="s">
        <v>101</v>
      </c>
      <c r="F33" s="100">
        <v>2</v>
      </c>
      <c r="G33" s="100">
        <v>2</v>
      </c>
      <c r="H33" s="77">
        <v>803.9</v>
      </c>
      <c r="I33" s="92">
        <v>573.9</v>
      </c>
      <c r="J33" s="77">
        <v>393.9</v>
      </c>
      <c r="K33" s="80">
        <v>22</v>
      </c>
      <c r="L33" s="72">
        <f t="shared" si="5"/>
        <v>937253.30700000003</v>
      </c>
      <c r="M33" s="75"/>
      <c r="N33" s="75"/>
      <c r="O33" s="75"/>
      <c r="P33" s="71">
        <f t="shared" si="6"/>
        <v>937253.30700000003</v>
      </c>
      <c r="Q33" s="47">
        <f>L33/I33</f>
        <v>1633.13</v>
      </c>
      <c r="R33" s="117">
        <v>1633.13</v>
      </c>
      <c r="S33" s="78" t="s">
        <v>115</v>
      </c>
      <c r="T33" s="100" t="s">
        <v>106</v>
      </c>
    </row>
    <row r="34" spans="1:20" s="41" customFormat="1" x14ac:dyDescent="0.25">
      <c r="A34" s="11">
        <v>13</v>
      </c>
      <c r="B34" s="94" t="s">
        <v>119</v>
      </c>
      <c r="C34" s="95">
        <v>1960</v>
      </c>
      <c r="D34" s="95">
        <v>1960</v>
      </c>
      <c r="E34" s="96" t="s">
        <v>101</v>
      </c>
      <c r="F34" s="96">
        <v>3</v>
      </c>
      <c r="G34" s="96">
        <v>2</v>
      </c>
      <c r="H34" s="15">
        <v>1507.6</v>
      </c>
      <c r="I34" s="88">
        <v>1298.4000000000001</v>
      </c>
      <c r="J34" s="46">
        <v>777.5</v>
      </c>
      <c r="K34" s="46">
        <v>31</v>
      </c>
      <c r="L34" s="72">
        <f t="shared" si="5"/>
        <v>1363138.2239999999</v>
      </c>
      <c r="M34" s="46"/>
      <c r="N34" s="46"/>
      <c r="O34" s="46"/>
      <c r="P34" s="71">
        <f t="shared" si="6"/>
        <v>1363138.2239999999</v>
      </c>
      <c r="Q34" s="47">
        <f t="shared" ref="Q34:Q37" si="8">L34/I34</f>
        <v>1049.8599999999999</v>
      </c>
      <c r="R34" s="114">
        <v>1049.8599999999999</v>
      </c>
      <c r="S34" s="46">
        <v>2019</v>
      </c>
      <c r="T34" s="100" t="s">
        <v>106</v>
      </c>
    </row>
    <row r="35" spans="1:20" s="41" customFormat="1" x14ac:dyDescent="0.25">
      <c r="A35" s="11">
        <v>14</v>
      </c>
      <c r="B35" s="94" t="s">
        <v>120</v>
      </c>
      <c r="C35" s="95">
        <v>1960</v>
      </c>
      <c r="D35" s="95">
        <v>1960</v>
      </c>
      <c r="E35" s="96" t="s">
        <v>101</v>
      </c>
      <c r="F35" s="96">
        <v>2</v>
      </c>
      <c r="G35" s="96">
        <v>2</v>
      </c>
      <c r="H35" s="15">
        <v>680.7</v>
      </c>
      <c r="I35" s="88">
        <v>595.79999999999995</v>
      </c>
      <c r="J35" s="46">
        <v>568.79999999999995</v>
      </c>
      <c r="K35" s="46">
        <v>18</v>
      </c>
      <c r="L35" s="72">
        <f>I35*R35</f>
        <v>973018.85399999993</v>
      </c>
      <c r="M35" s="46"/>
      <c r="N35" s="46"/>
      <c r="O35" s="46"/>
      <c r="P35" s="71">
        <f t="shared" si="6"/>
        <v>973018.85399999993</v>
      </c>
      <c r="Q35" s="47">
        <f t="shared" si="8"/>
        <v>1633.13</v>
      </c>
      <c r="R35" s="114">
        <v>1633.13</v>
      </c>
      <c r="S35" s="46">
        <v>2019</v>
      </c>
      <c r="T35" s="100" t="s">
        <v>106</v>
      </c>
    </row>
    <row r="36" spans="1:20" s="41" customFormat="1" x14ac:dyDescent="0.25">
      <c r="A36" s="11">
        <v>15</v>
      </c>
      <c r="B36" s="94" t="s">
        <v>132</v>
      </c>
      <c r="C36" s="95">
        <v>1958</v>
      </c>
      <c r="D36" s="95">
        <v>1958</v>
      </c>
      <c r="E36" s="96" t="s">
        <v>101</v>
      </c>
      <c r="F36" s="96">
        <v>2</v>
      </c>
      <c r="G36" s="96">
        <v>2</v>
      </c>
      <c r="H36" s="15">
        <v>1030.0999999999999</v>
      </c>
      <c r="I36" s="88">
        <v>634.70000000000005</v>
      </c>
      <c r="J36" s="46">
        <v>227.7</v>
      </c>
      <c r="K36" s="46">
        <v>17</v>
      </c>
      <c r="L36" s="72">
        <f t="shared" si="5"/>
        <v>1036547.6110000001</v>
      </c>
      <c r="M36" s="46"/>
      <c r="N36" s="46"/>
      <c r="O36" s="46"/>
      <c r="P36" s="71">
        <f t="shared" si="6"/>
        <v>1036547.6110000001</v>
      </c>
      <c r="Q36" s="47">
        <f t="shared" si="8"/>
        <v>1633.13</v>
      </c>
      <c r="R36" s="114">
        <v>1633.13</v>
      </c>
      <c r="S36" s="46">
        <v>2019</v>
      </c>
      <c r="T36" s="100" t="s">
        <v>144</v>
      </c>
    </row>
    <row r="37" spans="1:20" s="41" customFormat="1" x14ac:dyDescent="0.25">
      <c r="A37" s="11">
        <v>16</v>
      </c>
      <c r="B37" s="94" t="s">
        <v>135</v>
      </c>
      <c r="C37" s="95">
        <v>1958</v>
      </c>
      <c r="D37" s="95">
        <v>1958</v>
      </c>
      <c r="E37" s="96" t="s">
        <v>101</v>
      </c>
      <c r="F37" s="96">
        <v>2</v>
      </c>
      <c r="G37" s="96">
        <v>2</v>
      </c>
      <c r="H37" s="15">
        <v>1028.5999999999999</v>
      </c>
      <c r="I37" s="88">
        <v>631.9</v>
      </c>
      <c r="J37" s="46">
        <v>269</v>
      </c>
      <c r="K37" s="46">
        <v>17</v>
      </c>
      <c r="L37" s="72">
        <f t="shared" si="5"/>
        <v>1031974.8470000001</v>
      </c>
      <c r="M37" s="46"/>
      <c r="N37" s="46"/>
      <c r="O37" s="46"/>
      <c r="P37" s="71">
        <f t="shared" si="6"/>
        <v>1031974.8470000001</v>
      </c>
      <c r="Q37" s="47">
        <f t="shared" si="8"/>
        <v>1633.13</v>
      </c>
      <c r="R37" s="114">
        <v>1633.13</v>
      </c>
      <c r="S37" s="46">
        <v>2019</v>
      </c>
      <c r="T37" s="100" t="s">
        <v>144</v>
      </c>
    </row>
    <row r="38" spans="1:20" s="23" customFormat="1" x14ac:dyDescent="0.25">
      <c r="A38" s="150" t="s">
        <v>30</v>
      </c>
      <c r="B38" s="151"/>
      <c r="C38" s="5" t="s">
        <v>28</v>
      </c>
      <c r="D38" s="4" t="s">
        <v>28</v>
      </c>
      <c r="E38" s="4" t="s">
        <v>28</v>
      </c>
      <c r="F38" s="4" t="s">
        <v>28</v>
      </c>
      <c r="G38" s="4" t="s">
        <v>28</v>
      </c>
      <c r="H38" s="37">
        <f>SUM(H39:H59)</f>
        <v>27603.93</v>
      </c>
      <c r="I38" s="91">
        <f>SUM(I39:I59)</f>
        <v>20117.3</v>
      </c>
      <c r="J38" s="29">
        <f>SUM(J39:J59)</f>
        <v>17553.399999999998</v>
      </c>
      <c r="K38" s="29">
        <f>SUM(K39:K59)</f>
        <v>742</v>
      </c>
      <c r="L38" s="82">
        <f>SUM(L39:L59)</f>
        <v>19679455.936999999</v>
      </c>
      <c r="M38" s="21">
        <v>0</v>
      </c>
      <c r="N38" s="21">
        <v>0</v>
      </c>
      <c r="O38" s="21">
        <v>0</v>
      </c>
      <c r="P38" s="29">
        <f>SUM(P39:P59)</f>
        <v>19679455.936999999</v>
      </c>
      <c r="Q38" s="22" t="s">
        <v>28</v>
      </c>
      <c r="R38" s="22" t="s">
        <v>28</v>
      </c>
      <c r="S38" s="22" t="s">
        <v>28</v>
      </c>
      <c r="T38" s="22" t="s">
        <v>28</v>
      </c>
    </row>
    <row r="39" spans="1:20" x14ac:dyDescent="0.25">
      <c r="A39" s="10">
        <v>1</v>
      </c>
      <c r="B39" s="101" t="s">
        <v>82</v>
      </c>
      <c r="C39" s="96">
        <v>1944</v>
      </c>
      <c r="D39" s="96">
        <v>1944</v>
      </c>
      <c r="E39" s="96" t="s">
        <v>101</v>
      </c>
      <c r="F39" s="96">
        <v>3</v>
      </c>
      <c r="G39" s="96">
        <v>4</v>
      </c>
      <c r="H39" s="15">
        <v>2444</v>
      </c>
      <c r="I39" s="88">
        <v>875.4</v>
      </c>
      <c r="J39" s="16">
        <v>875.4</v>
      </c>
      <c r="K39" s="16">
        <v>25</v>
      </c>
      <c r="L39" s="28">
        <f>I39*R39</f>
        <v>1128259.2899999998</v>
      </c>
      <c r="M39" s="16"/>
      <c r="N39" s="16"/>
      <c r="O39" s="16"/>
      <c r="P39" s="16">
        <f>L39</f>
        <v>1128259.2899999998</v>
      </c>
      <c r="Q39" s="16">
        <f>L39/I39</f>
        <v>1288.8499999999999</v>
      </c>
      <c r="R39" s="114">
        <f>302.78+986.07</f>
        <v>1288.8499999999999</v>
      </c>
      <c r="S39" s="16">
        <v>2020</v>
      </c>
      <c r="T39" s="100" t="s">
        <v>106</v>
      </c>
    </row>
    <row r="40" spans="1:20" s="23" customFormat="1" x14ac:dyDescent="0.25">
      <c r="A40" s="10">
        <v>2</v>
      </c>
      <c r="B40" s="101" t="s">
        <v>83</v>
      </c>
      <c r="C40" s="96">
        <v>1950</v>
      </c>
      <c r="D40" s="96">
        <v>1950</v>
      </c>
      <c r="E40" s="96" t="s">
        <v>102</v>
      </c>
      <c r="F40" s="96">
        <v>2</v>
      </c>
      <c r="G40" s="96">
        <v>1</v>
      </c>
      <c r="H40" s="15">
        <v>729</v>
      </c>
      <c r="I40" s="88">
        <v>688.8</v>
      </c>
      <c r="J40" s="17">
        <v>624.5</v>
      </c>
      <c r="K40" s="17">
        <v>20</v>
      </c>
      <c r="L40" s="73">
        <f t="shared" ref="L40:L59" si="9">I40*R40</f>
        <v>208554.86399999997</v>
      </c>
      <c r="M40" s="17"/>
      <c r="N40" s="17"/>
      <c r="O40" s="17"/>
      <c r="P40" s="74">
        <f t="shared" ref="P40:P59" si="10">L40</f>
        <v>208554.86399999997</v>
      </c>
      <c r="Q40" s="46">
        <f t="shared" ref="Q40:Q59" si="11">L40/I40</f>
        <v>302.77999999999997</v>
      </c>
      <c r="R40" s="113">
        <f>302.78</f>
        <v>302.77999999999997</v>
      </c>
      <c r="S40" s="17">
        <v>2020</v>
      </c>
      <c r="T40" s="103" t="s">
        <v>106</v>
      </c>
    </row>
    <row r="41" spans="1:20" x14ac:dyDescent="0.25">
      <c r="A41" s="10">
        <v>3</v>
      </c>
      <c r="B41" s="101" t="s">
        <v>84</v>
      </c>
      <c r="C41" s="96">
        <v>1952</v>
      </c>
      <c r="D41" s="96">
        <v>1952</v>
      </c>
      <c r="E41" s="96" t="s">
        <v>102</v>
      </c>
      <c r="F41" s="96">
        <v>2</v>
      </c>
      <c r="G41" s="96">
        <v>1</v>
      </c>
      <c r="H41" s="15">
        <v>397.3</v>
      </c>
      <c r="I41" s="88">
        <v>362.4</v>
      </c>
      <c r="J41" s="16">
        <v>314.5</v>
      </c>
      <c r="K41" s="16">
        <v>12</v>
      </c>
      <c r="L41" s="73">
        <f t="shared" si="9"/>
        <v>109727.47199999998</v>
      </c>
      <c r="M41" s="21"/>
      <c r="N41" s="16"/>
      <c r="O41" s="16"/>
      <c r="P41" s="74">
        <f t="shared" si="10"/>
        <v>109727.47199999998</v>
      </c>
      <c r="Q41" s="46">
        <f t="shared" si="11"/>
        <v>302.77999999999997</v>
      </c>
      <c r="R41" s="114">
        <f>302.78</f>
        <v>302.77999999999997</v>
      </c>
      <c r="S41" s="16">
        <v>2020</v>
      </c>
      <c r="T41" s="100" t="s">
        <v>106</v>
      </c>
    </row>
    <row r="42" spans="1:20" s="23" customFormat="1" x14ac:dyDescent="0.25">
      <c r="A42" s="10">
        <v>4</v>
      </c>
      <c r="B42" s="101" t="s">
        <v>85</v>
      </c>
      <c r="C42" s="96">
        <v>1952</v>
      </c>
      <c r="D42" s="96">
        <v>1952</v>
      </c>
      <c r="E42" s="96" t="s">
        <v>101</v>
      </c>
      <c r="F42" s="96">
        <v>3</v>
      </c>
      <c r="G42" s="96">
        <v>2</v>
      </c>
      <c r="H42" s="15">
        <v>1672.7</v>
      </c>
      <c r="I42" s="88">
        <v>1110.8</v>
      </c>
      <c r="J42" s="17">
        <v>1110.8</v>
      </c>
      <c r="K42" s="17">
        <v>46</v>
      </c>
      <c r="L42" s="73">
        <f t="shared" si="9"/>
        <v>336328.02399999998</v>
      </c>
      <c r="M42" s="17"/>
      <c r="N42" s="17"/>
      <c r="O42" s="17"/>
      <c r="P42" s="74">
        <f t="shared" si="10"/>
        <v>336328.02399999998</v>
      </c>
      <c r="Q42" s="46">
        <f t="shared" si="11"/>
        <v>302.77999999999997</v>
      </c>
      <c r="R42" s="113">
        <f>302.78</f>
        <v>302.77999999999997</v>
      </c>
      <c r="S42" s="17">
        <v>2020</v>
      </c>
      <c r="T42" s="103" t="s">
        <v>106</v>
      </c>
    </row>
    <row r="43" spans="1:20" x14ac:dyDescent="0.25">
      <c r="A43" s="10">
        <v>5</v>
      </c>
      <c r="B43" s="101" t="s">
        <v>87</v>
      </c>
      <c r="C43" s="96">
        <v>1953</v>
      </c>
      <c r="D43" s="96">
        <v>1953</v>
      </c>
      <c r="E43" s="96" t="s">
        <v>101</v>
      </c>
      <c r="F43" s="96">
        <v>2</v>
      </c>
      <c r="G43" s="96">
        <v>1</v>
      </c>
      <c r="H43" s="15">
        <v>570.20000000000005</v>
      </c>
      <c r="I43" s="88">
        <v>504.9</v>
      </c>
      <c r="J43" s="16">
        <v>383.4</v>
      </c>
      <c r="K43" s="16">
        <v>30</v>
      </c>
      <c r="L43" s="73">
        <f t="shared" si="9"/>
        <v>824567.33700000006</v>
      </c>
      <c r="M43" s="16"/>
      <c r="N43" s="16"/>
      <c r="O43" s="16"/>
      <c r="P43" s="74">
        <f t="shared" si="10"/>
        <v>824567.33700000006</v>
      </c>
      <c r="Q43" s="46">
        <f t="shared" si="11"/>
        <v>1633.13</v>
      </c>
      <c r="R43" s="114">
        <v>1633.13</v>
      </c>
      <c r="S43" s="16">
        <v>2020</v>
      </c>
      <c r="T43" s="100" t="s">
        <v>106</v>
      </c>
    </row>
    <row r="44" spans="1:20" x14ac:dyDescent="0.25">
      <c r="A44" s="10">
        <v>6</v>
      </c>
      <c r="B44" s="101" t="s">
        <v>89</v>
      </c>
      <c r="C44" s="96">
        <v>1954</v>
      </c>
      <c r="D44" s="96">
        <v>1954</v>
      </c>
      <c r="E44" s="96" t="s">
        <v>101</v>
      </c>
      <c r="F44" s="96">
        <v>2</v>
      </c>
      <c r="G44" s="96">
        <v>1</v>
      </c>
      <c r="H44" s="15">
        <v>420.8</v>
      </c>
      <c r="I44" s="88">
        <v>384.8</v>
      </c>
      <c r="J44" s="17">
        <v>224.2</v>
      </c>
      <c r="K44" s="16">
        <v>15</v>
      </c>
      <c r="L44" s="73">
        <f t="shared" si="9"/>
        <v>628428.42400000012</v>
      </c>
      <c r="M44" s="16"/>
      <c r="N44" s="16"/>
      <c r="O44" s="16"/>
      <c r="P44" s="74">
        <f t="shared" si="10"/>
        <v>628428.42400000012</v>
      </c>
      <c r="Q44" s="46">
        <f t="shared" si="11"/>
        <v>1633.1300000000003</v>
      </c>
      <c r="R44" s="114">
        <v>1633.13</v>
      </c>
      <c r="S44" s="16">
        <v>2020</v>
      </c>
      <c r="T44" s="100" t="s">
        <v>106</v>
      </c>
    </row>
    <row r="45" spans="1:20" s="31" customFormat="1" ht="15.75" customHeight="1" x14ac:dyDescent="0.25">
      <c r="A45" s="10">
        <v>7</v>
      </c>
      <c r="B45" s="101" t="s">
        <v>88</v>
      </c>
      <c r="C45" s="96">
        <v>1953</v>
      </c>
      <c r="D45" s="96">
        <v>1953</v>
      </c>
      <c r="E45" s="96" t="s">
        <v>101</v>
      </c>
      <c r="F45" s="96">
        <v>2</v>
      </c>
      <c r="G45" s="96">
        <v>2</v>
      </c>
      <c r="H45" s="15">
        <v>713.4</v>
      </c>
      <c r="I45" s="88">
        <v>631.4</v>
      </c>
      <c r="J45" s="17">
        <v>583</v>
      </c>
      <c r="K45" s="17">
        <v>28</v>
      </c>
      <c r="L45" s="73">
        <f>I45*R45</f>
        <v>1031158.282</v>
      </c>
      <c r="M45" s="30"/>
      <c r="N45" s="30"/>
      <c r="O45" s="30"/>
      <c r="P45" s="74">
        <f>L45</f>
        <v>1031158.282</v>
      </c>
      <c r="Q45" s="46">
        <f t="shared" si="11"/>
        <v>1633.13</v>
      </c>
      <c r="R45" s="114">
        <v>1633.13</v>
      </c>
      <c r="S45" s="16">
        <v>2020</v>
      </c>
      <c r="T45" s="100" t="s">
        <v>106</v>
      </c>
    </row>
    <row r="46" spans="1:20" s="31" customFormat="1" ht="15.75" customHeight="1" x14ac:dyDescent="0.25">
      <c r="A46" s="10">
        <v>8</v>
      </c>
      <c r="B46" s="101" t="s">
        <v>105</v>
      </c>
      <c r="C46" s="96">
        <v>1954</v>
      </c>
      <c r="D46" s="96">
        <v>1954</v>
      </c>
      <c r="E46" s="96" t="s">
        <v>101</v>
      </c>
      <c r="F46" s="96">
        <v>3</v>
      </c>
      <c r="G46" s="96">
        <v>3</v>
      </c>
      <c r="H46" s="15">
        <v>1851.1</v>
      </c>
      <c r="I46" s="88">
        <v>1246.4000000000001</v>
      </c>
      <c r="J46" s="17">
        <v>1118</v>
      </c>
      <c r="K46" s="17">
        <v>19</v>
      </c>
      <c r="L46" s="73">
        <f t="shared" si="9"/>
        <v>1308545.504</v>
      </c>
      <c r="M46" s="30"/>
      <c r="N46" s="30"/>
      <c r="O46" s="30"/>
      <c r="P46" s="74">
        <f t="shared" si="10"/>
        <v>1308545.504</v>
      </c>
      <c r="Q46" s="46">
        <f t="shared" si="11"/>
        <v>1049.8599999999999</v>
      </c>
      <c r="R46" s="114">
        <v>1049.8599999999999</v>
      </c>
      <c r="S46" s="16">
        <v>2020</v>
      </c>
      <c r="T46" s="100" t="s">
        <v>106</v>
      </c>
    </row>
    <row r="47" spans="1:20" x14ac:dyDescent="0.25">
      <c r="A47" s="10">
        <v>9</v>
      </c>
      <c r="B47" s="101" t="s">
        <v>90</v>
      </c>
      <c r="C47" s="96">
        <v>1954</v>
      </c>
      <c r="D47" s="96">
        <v>1954</v>
      </c>
      <c r="E47" s="96" t="s">
        <v>102</v>
      </c>
      <c r="F47" s="96">
        <v>2</v>
      </c>
      <c r="G47" s="96">
        <v>1</v>
      </c>
      <c r="H47" s="15">
        <v>475.7</v>
      </c>
      <c r="I47" s="88">
        <v>304.2</v>
      </c>
      <c r="J47" s="16">
        <v>304.2</v>
      </c>
      <c r="K47" s="16">
        <v>22</v>
      </c>
      <c r="L47" s="73">
        <f t="shared" si="9"/>
        <v>496798.14600000001</v>
      </c>
      <c r="M47" s="16"/>
      <c r="N47" s="16"/>
      <c r="O47" s="16"/>
      <c r="P47" s="74">
        <f t="shared" si="10"/>
        <v>496798.14600000001</v>
      </c>
      <c r="Q47" s="46">
        <f t="shared" si="11"/>
        <v>1633.13</v>
      </c>
      <c r="R47" s="114">
        <v>1633.13</v>
      </c>
      <c r="S47" s="16">
        <v>2020</v>
      </c>
      <c r="T47" s="100" t="s">
        <v>106</v>
      </c>
    </row>
    <row r="48" spans="1:20" s="23" customFormat="1" x14ac:dyDescent="0.25">
      <c r="A48" s="10">
        <v>10</v>
      </c>
      <c r="B48" s="101" t="s">
        <v>91</v>
      </c>
      <c r="C48" s="96">
        <v>1954</v>
      </c>
      <c r="D48" s="96">
        <v>1954</v>
      </c>
      <c r="E48" s="96" t="s">
        <v>102</v>
      </c>
      <c r="F48" s="96">
        <v>2</v>
      </c>
      <c r="G48" s="96">
        <v>1</v>
      </c>
      <c r="H48" s="15">
        <v>482.9</v>
      </c>
      <c r="I48" s="88">
        <v>310.7</v>
      </c>
      <c r="J48" s="17">
        <v>269.7</v>
      </c>
      <c r="K48" s="17">
        <v>16</v>
      </c>
      <c r="L48" s="73">
        <f t="shared" si="9"/>
        <v>507413.49100000004</v>
      </c>
      <c r="M48" s="17"/>
      <c r="N48" s="17"/>
      <c r="O48" s="17"/>
      <c r="P48" s="74">
        <f t="shared" si="10"/>
        <v>507413.49100000004</v>
      </c>
      <c r="Q48" s="46">
        <f t="shared" si="11"/>
        <v>1633.13</v>
      </c>
      <c r="R48" s="113">
        <v>1633.13</v>
      </c>
      <c r="S48" s="17">
        <v>2020</v>
      </c>
      <c r="T48" s="103" t="s">
        <v>106</v>
      </c>
    </row>
    <row r="49" spans="1:20" x14ac:dyDescent="0.25">
      <c r="A49" s="10">
        <v>11</v>
      </c>
      <c r="B49" s="101" t="s">
        <v>95</v>
      </c>
      <c r="C49" s="96">
        <v>1960</v>
      </c>
      <c r="D49" s="96">
        <v>1960</v>
      </c>
      <c r="E49" s="96" t="s">
        <v>101</v>
      </c>
      <c r="F49" s="96">
        <v>2</v>
      </c>
      <c r="G49" s="96">
        <v>4</v>
      </c>
      <c r="H49" s="15">
        <v>1761.4</v>
      </c>
      <c r="I49" s="88">
        <v>1346.2</v>
      </c>
      <c r="J49" s="16">
        <v>1346.2</v>
      </c>
      <c r="K49" s="16">
        <v>34</v>
      </c>
      <c r="L49" s="73">
        <f t="shared" si="9"/>
        <v>899073.1320000001</v>
      </c>
      <c r="M49" s="16"/>
      <c r="N49" s="16"/>
      <c r="O49" s="16"/>
      <c r="P49" s="74">
        <f t="shared" si="10"/>
        <v>899073.1320000001</v>
      </c>
      <c r="Q49" s="46">
        <f t="shared" si="11"/>
        <v>667.86</v>
      </c>
      <c r="R49" s="114">
        <f>667.86</f>
        <v>667.86</v>
      </c>
      <c r="S49" s="16">
        <v>2020</v>
      </c>
      <c r="T49" s="100" t="s">
        <v>106</v>
      </c>
    </row>
    <row r="50" spans="1:20" s="23" customFormat="1" x14ac:dyDescent="0.25">
      <c r="A50" s="10">
        <v>12</v>
      </c>
      <c r="B50" s="101" t="s">
        <v>96</v>
      </c>
      <c r="C50" s="96">
        <v>1961</v>
      </c>
      <c r="D50" s="96">
        <v>1961</v>
      </c>
      <c r="E50" s="96" t="s">
        <v>101</v>
      </c>
      <c r="F50" s="96">
        <v>3</v>
      </c>
      <c r="G50" s="96">
        <v>3</v>
      </c>
      <c r="H50" s="15">
        <v>1196</v>
      </c>
      <c r="I50" s="88">
        <v>1092</v>
      </c>
      <c r="J50" s="17">
        <v>1092</v>
      </c>
      <c r="K50" s="17">
        <v>47</v>
      </c>
      <c r="L50" s="28">
        <f t="shared" si="9"/>
        <v>729303.12</v>
      </c>
      <c r="M50" s="17"/>
      <c r="N50" s="17"/>
      <c r="O50" s="17"/>
      <c r="P50" s="46">
        <f t="shared" si="10"/>
        <v>729303.12</v>
      </c>
      <c r="Q50" s="46">
        <f t="shared" si="11"/>
        <v>667.86</v>
      </c>
      <c r="R50" s="113">
        <v>667.86</v>
      </c>
      <c r="S50" s="17">
        <v>2020</v>
      </c>
      <c r="T50" s="103" t="s">
        <v>106</v>
      </c>
    </row>
    <row r="51" spans="1:20" x14ac:dyDescent="0.25">
      <c r="A51" s="10">
        <v>13</v>
      </c>
      <c r="B51" s="101" t="s">
        <v>97</v>
      </c>
      <c r="C51" s="96">
        <v>1962</v>
      </c>
      <c r="D51" s="96">
        <v>1962</v>
      </c>
      <c r="E51" s="96" t="s">
        <v>103</v>
      </c>
      <c r="F51" s="96">
        <v>4</v>
      </c>
      <c r="G51" s="96">
        <v>3</v>
      </c>
      <c r="H51" s="15">
        <v>3838.8</v>
      </c>
      <c r="I51" s="88">
        <v>1989.1</v>
      </c>
      <c r="J51" s="16">
        <v>1754.4</v>
      </c>
      <c r="K51" s="16">
        <v>92</v>
      </c>
      <c r="L51" s="73">
        <f t="shared" si="9"/>
        <v>1328440.3259999999</v>
      </c>
      <c r="M51" s="16"/>
      <c r="N51" s="16"/>
      <c r="O51" s="16"/>
      <c r="P51" s="74">
        <f t="shared" si="10"/>
        <v>1328440.3259999999</v>
      </c>
      <c r="Q51" s="46">
        <f t="shared" si="11"/>
        <v>667.86</v>
      </c>
      <c r="R51" s="114">
        <f>667.86</f>
        <v>667.86</v>
      </c>
      <c r="S51" s="16">
        <v>2020</v>
      </c>
      <c r="T51" s="100" t="s">
        <v>106</v>
      </c>
    </row>
    <row r="52" spans="1:20" s="23" customFormat="1" x14ac:dyDescent="0.25">
      <c r="A52" s="10">
        <v>14</v>
      </c>
      <c r="B52" s="101" t="s">
        <v>98</v>
      </c>
      <c r="C52" s="96">
        <v>1962</v>
      </c>
      <c r="D52" s="96">
        <v>1962</v>
      </c>
      <c r="E52" s="96" t="s">
        <v>101</v>
      </c>
      <c r="F52" s="96">
        <v>4</v>
      </c>
      <c r="G52" s="96">
        <v>2</v>
      </c>
      <c r="H52" s="15">
        <v>1361.2</v>
      </c>
      <c r="I52" s="88">
        <v>1265</v>
      </c>
      <c r="J52" s="17">
        <v>1179.7</v>
      </c>
      <c r="K52" s="17">
        <v>62</v>
      </c>
      <c r="L52" s="28">
        <f t="shared" si="9"/>
        <v>844842.9</v>
      </c>
      <c r="M52" s="17"/>
      <c r="N52" s="17"/>
      <c r="O52" s="17"/>
      <c r="P52" s="46">
        <f t="shared" si="10"/>
        <v>844842.9</v>
      </c>
      <c r="Q52" s="46">
        <f t="shared" si="11"/>
        <v>667.86</v>
      </c>
      <c r="R52" s="113">
        <f>667.86</f>
        <v>667.86</v>
      </c>
      <c r="S52" s="17">
        <v>2020</v>
      </c>
      <c r="T52" s="103" t="s">
        <v>106</v>
      </c>
    </row>
    <row r="53" spans="1:20" x14ac:dyDescent="0.25">
      <c r="A53" s="10">
        <v>15</v>
      </c>
      <c r="B53" s="101" t="s">
        <v>99</v>
      </c>
      <c r="C53" s="96">
        <v>1962</v>
      </c>
      <c r="D53" s="96">
        <v>1962</v>
      </c>
      <c r="E53" s="96" t="s">
        <v>101</v>
      </c>
      <c r="F53" s="96">
        <v>3</v>
      </c>
      <c r="G53" s="96">
        <v>3</v>
      </c>
      <c r="H53" s="15">
        <v>1587.7</v>
      </c>
      <c r="I53" s="88">
        <v>1483.7</v>
      </c>
      <c r="J53" s="16">
        <v>1294.4000000000001</v>
      </c>
      <c r="K53" s="16">
        <v>68</v>
      </c>
      <c r="L53" s="73">
        <f t="shared" si="9"/>
        <v>990903.8820000001</v>
      </c>
      <c r="M53" s="16"/>
      <c r="N53" s="16"/>
      <c r="O53" s="16"/>
      <c r="P53" s="74">
        <f t="shared" si="10"/>
        <v>990903.8820000001</v>
      </c>
      <c r="Q53" s="46">
        <f t="shared" si="11"/>
        <v>667.86</v>
      </c>
      <c r="R53" s="114">
        <f>667.86</f>
        <v>667.86</v>
      </c>
      <c r="S53" s="16">
        <v>2020</v>
      </c>
      <c r="T53" s="100" t="s">
        <v>106</v>
      </c>
    </row>
    <row r="54" spans="1:20" s="41" customFormat="1" x14ac:dyDescent="0.25">
      <c r="A54" s="63">
        <v>16</v>
      </c>
      <c r="B54" s="66" t="s">
        <v>108</v>
      </c>
      <c r="C54" s="66">
        <v>1960</v>
      </c>
      <c r="D54" s="66">
        <v>1960</v>
      </c>
      <c r="E54" s="99" t="s">
        <v>101</v>
      </c>
      <c r="F54" s="66">
        <v>2</v>
      </c>
      <c r="G54" s="66">
        <v>2</v>
      </c>
      <c r="H54" s="66">
        <v>663.9</v>
      </c>
      <c r="I54" s="90">
        <v>619.9</v>
      </c>
      <c r="J54" s="66">
        <v>380.3</v>
      </c>
      <c r="K54" s="66">
        <v>21</v>
      </c>
      <c r="L54" s="73">
        <f t="shared" si="9"/>
        <v>1012377.287</v>
      </c>
      <c r="M54" s="67"/>
      <c r="N54" s="67"/>
      <c r="O54" s="67"/>
      <c r="P54" s="74">
        <f t="shared" si="10"/>
        <v>1012377.287</v>
      </c>
      <c r="Q54" s="46">
        <f t="shared" si="11"/>
        <v>1633.13</v>
      </c>
      <c r="R54" s="116">
        <v>1633.13</v>
      </c>
      <c r="S54" s="46">
        <v>2020</v>
      </c>
      <c r="T54" s="100" t="s">
        <v>106</v>
      </c>
    </row>
    <row r="55" spans="1:20" s="41" customFormat="1" x14ac:dyDescent="0.25">
      <c r="A55" s="65">
        <v>17</v>
      </c>
      <c r="B55" s="66" t="s">
        <v>109</v>
      </c>
      <c r="C55" s="66">
        <v>1961</v>
      </c>
      <c r="D55" s="66">
        <v>1961</v>
      </c>
      <c r="E55" s="99" t="s">
        <v>101</v>
      </c>
      <c r="F55" s="66">
        <v>2</v>
      </c>
      <c r="G55" s="66">
        <v>2</v>
      </c>
      <c r="H55" s="66">
        <v>683.3</v>
      </c>
      <c r="I55" s="90">
        <v>635.20000000000005</v>
      </c>
      <c r="J55" s="66">
        <v>503.9</v>
      </c>
      <c r="K55" s="66">
        <v>15</v>
      </c>
      <c r="L55" s="73">
        <f t="shared" si="9"/>
        <v>1037364.1760000001</v>
      </c>
      <c r="M55" s="67"/>
      <c r="N55" s="67"/>
      <c r="O55" s="67"/>
      <c r="P55" s="74">
        <f t="shared" si="10"/>
        <v>1037364.1760000001</v>
      </c>
      <c r="Q55" s="46">
        <f t="shared" si="11"/>
        <v>1633.13</v>
      </c>
      <c r="R55" s="116">
        <v>1633.13</v>
      </c>
      <c r="S55" s="46">
        <v>2020</v>
      </c>
      <c r="T55" s="100" t="s">
        <v>106</v>
      </c>
    </row>
    <row r="56" spans="1:20" s="41" customFormat="1" x14ac:dyDescent="0.25">
      <c r="A56" s="10">
        <v>18</v>
      </c>
      <c r="B56" s="101" t="s">
        <v>121</v>
      </c>
      <c r="C56" s="96">
        <v>1962</v>
      </c>
      <c r="D56" s="96">
        <v>1962</v>
      </c>
      <c r="E56" s="96" t="s">
        <v>101</v>
      </c>
      <c r="F56" s="96">
        <v>4</v>
      </c>
      <c r="G56" s="96">
        <v>3</v>
      </c>
      <c r="H56" s="15">
        <v>3008.3</v>
      </c>
      <c r="I56" s="88">
        <v>2025</v>
      </c>
      <c r="J56" s="46">
        <v>1722.4</v>
      </c>
      <c r="K56" s="46">
        <v>58</v>
      </c>
      <c r="L56" s="73">
        <f t="shared" si="9"/>
        <v>2125966.5</v>
      </c>
      <c r="M56" s="46"/>
      <c r="N56" s="46"/>
      <c r="O56" s="46"/>
      <c r="P56" s="74">
        <f t="shared" si="10"/>
        <v>2125966.5</v>
      </c>
      <c r="Q56" s="46">
        <f t="shared" si="11"/>
        <v>1049.8599999999999</v>
      </c>
      <c r="R56" s="114">
        <v>1049.8599999999999</v>
      </c>
      <c r="S56" s="46">
        <v>2020</v>
      </c>
      <c r="T56" s="100" t="s">
        <v>106</v>
      </c>
    </row>
    <row r="57" spans="1:20" s="41" customFormat="1" x14ac:dyDescent="0.25">
      <c r="A57" s="10">
        <v>19</v>
      </c>
      <c r="B57" s="101" t="s">
        <v>122</v>
      </c>
      <c r="C57" s="96">
        <v>1963</v>
      </c>
      <c r="D57" s="96">
        <v>1963</v>
      </c>
      <c r="E57" s="96" t="s">
        <v>101</v>
      </c>
      <c r="F57" s="96">
        <v>4</v>
      </c>
      <c r="G57" s="96">
        <v>3</v>
      </c>
      <c r="H57" s="15">
        <v>2354.6</v>
      </c>
      <c r="I57" s="88">
        <v>1992.6</v>
      </c>
      <c r="J57" s="46">
        <v>1663.6</v>
      </c>
      <c r="K57" s="46">
        <v>75</v>
      </c>
      <c r="L57" s="73">
        <f t="shared" si="9"/>
        <v>2091951.0359999996</v>
      </c>
      <c r="M57" s="46"/>
      <c r="N57" s="46"/>
      <c r="O57" s="46"/>
      <c r="P57" s="74">
        <f t="shared" si="10"/>
        <v>2091951.0359999996</v>
      </c>
      <c r="Q57" s="46">
        <f t="shared" si="11"/>
        <v>1049.8599999999999</v>
      </c>
      <c r="R57" s="114">
        <v>1049.8599999999999</v>
      </c>
      <c r="S57" s="46">
        <v>2020</v>
      </c>
      <c r="T57" s="100" t="s">
        <v>106</v>
      </c>
    </row>
    <row r="58" spans="1:20" s="41" customFormat="1" x14ac:dyDescent="0.25">
      <c r="A58" s="10">
        <v>20</v>
      </c>
      <c r="B58" s="101" t="s">
        <v>136</v>
      </c>
      <c r="C58" s="96">
        <v>1958</v>
      </c>
      <c r="D58" s="96">
        <v>1958</v>
      </c>
      <c r="E58" s="96" t="s">
        <v>101</v>
      </c>
      <c r="F58" s="96">
        <v>2</v>
      </c>
      <c r="G58" s="96">
        <v>2</v>
      </c>
      <c r="H58" s="15">
        <v>671.43</v>
      </c>
      <c r="I58" s="88">
        <v>625</v>
      </c>
      <c r="J58" s="46">
        <v>430.4</v>
      </c>
      <c r="K58" s="46">
        <v>21</v>
      </c>
      <c r="L58" s="28">
        <f t="shared" si="9"/>
        <v>1020706.2500000001</v>
      </c>
      <c r="M58" s="46"/>
      <c r="N58" s="46"/>
      <c r="O58" s="46"/>
      <c r="P58" s="46">
        <f t="shared" si="10"/>
        <v>1020706.2500000001</v>
      </c>
      <c r="Q58" s="46">
        <f t="shared" si="11"/>
        <v>1633.13</v>
      </c>
      <c r="R58" s="114">
        <v>1633.13</v>
      </c>
      <c r="S58" s="46">
        <v>2020</v>
      </c>
      <c r="T58" s="100" t="s">
        <v>144</v>
      </c>
    </row>
    <row r="59" spans="1:20" s="41" customFormat="1" x14ac:dyDescent="0.25">
      <c r="A59" s="10">
        <v>21</v>
      </c>
      <c r="B59" s="101" t="s">
        <v>137</v>
      </c>
      <c r="C59" s="96">
        <v>1958</v>
      </c>
      <c r="D59" s="96">
        <v>1958</v>
      </c>
      <c r="E59" s="96" t="s">
        <v>101</v>
      </c>
      <c r="F59" s="96">
        <v>2</v>
      </c>
      <c r="G59" s="96">
        <v>2</v>
      </c>
      <c r="H59" s="15">
        <v>720.2</v>
      </c>
      <c r="I59" s="88">
        <v>623.79999999999995</v>
      </c>
      <c r="J59" s="46">
        <v>378.4</v>
      </c>
      <c r="K59" s="46">
        <v>16</v>
      </c>
      <c r="L59" s="73">
        <f t="shared" si="9"/>
        <v>1018746.4939999999</v>
      </c>
      <c r="M59" s="46"/>
      <c r="N59" s="46"/>
      <c r="O59" s="46"/>
      <c r="P59" s="74">
        <f t="shared" si="10"/>
        <v>1018746.4939999999</v>
      </c>
      <c r="Q59" s="46">
        <f t="shared" si="11"/>
        <v>1633.13</v>
      </c>
      <c r="R59" s="114">
        <v>1633.13</v>
      </c>
      <c r="S59" s="46">
        <v>2020</v>
      </c>
      <c r="T59" s="100" t="s">
        <v>144</v>
      </c>
    </row>
  </sheetData>
  <mergeCells count="26">
    <mergeCell ref="S4:S7"/>
    <mergeCell ref="Q4:Q6"/>
    <mergeCell ref="A38:B38"/>
    <mergeCell ref="C5:C7"/>
    <mergeCell ref="A9:B9"/>
    <mergeCell ref="A10:B10"/>
    <mergeCell ref="A21:B21"/>
    <mergeCell ref="A4:A7"/>
    <mergeCell ref="B4:B7"/>
    <mergeCell ref="C4:D4"/>
    <mergeCell ref="S3:T3"/>
    <mergeCell ref="H4:H6"/>
    <mergeCell ref="I4:J4"/>
    <mergeCell ref="K4:K6"/>
    <mergeCell ref="L4:P4"/>
    <mergeCell ref="R4:R6"/>
    <mergeCell ref="B1:Q3"/>
    <mergeCell ref="D5:D7"/>
    <mergeCell ref="I5:I6"/>
    <mergeCell ref="L5:L6"/>
    <mergeCell ref="E4:E7"/>
    <mergeCell ref="T4:T7"/>
    <mergeCell ref="M5:P5"/>
    <mergeCell ref="F4:F7"/>
    <mergeCell ref="G4:G7"/>
    <mergeCell ref="J5:J6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16" zoomScale="70" zoomScaleNormal="70" workbookViewId="0">
      <selection activeCell="F62" sqref="F62"/>
    </sheetView>
  </sheetViews>
  <sheetFormatPr defaultRowHeight="15.75" x14ac:dyDescent="0.25"/>
  <cols>
    <col min="1" max="1" width="5.140625" style="40" customWidth="1"/>
    <col min="2" max="2" width="54.140625" style="40" customWidth="1"/>
    <col min="3" max="3" width="19" style="40" customWidth="1"/>
    <col min="4" max="4" width="18.7109375" style="40" customWidth="1"/>
    <col min="5" max="5" width="20.140625" style="40" customWidth="1"/>
    <col min="6" max="6" width="11" style="40" customWidth="1"/>
    <col min="7" max="7" width="14.42578125" style="40" customWidth="1"/>
    <col min="8" max="8" width="6.140625" style="40" customWidth="1"/>
    <col min="9" max="9" width="13.85546875" style="40" customWidth="1"/>
    <col min="10" max="10" width="6.7109375" style="40" customWidth="1"/>
    <col min="11" max="11" width="5.5703125" style="40" customWidth="1"/>
    <col min="12" max="12" width="12.28515625" style="40" customWidth="1"/>
    <col min="13" max="13" width="17.85546875" style="40" customWidth="1"/>
    <col min="14" max="14" width="12.7109375" style="40" customWidth="1"/>
    <col min="15" max="15" width="14.42578125" style="40" customWidth="1"/>
    <col min="16" max="16" width="12.42578125" style="40" customWidth="1"/>
    <col min="17" max="17" width="16.85546875" style="40" customWidth="1"/>
    <col min="18" max="18" width="5.7109375" style="40" customWidth="1"/>
    <col min="19" max="19" width="6.28515625" style="40" customWidth="1"/>
    <col min="20" max="20" width="6.140625" style="40" customWidth="1"/>
    <col min="21" max="21" width="8.140625" style="40" customWidth="1"/>
    <col min="22" max="22" width="7.7109375" style="40" customWidth="1"/>
    <col min="23" max="23" width="7.140625" style="40" customWidth="1"/>
    <col min="24" max="25" width="7.7109375" style="40" customWidth="1"/>
    <col min="26" max="26" width="7.28515625" style="40" customWidth="1"/>
    <col min="27" max="27" width="15.42578125" style="40" customWidth="1"/>
    <col min="28" max="16384" width="9.140625" style="40"/>
  </cols>
  <sheetData>
    <row r="1" spans="1:27" x14ac:dyDescent="0.25">
      <c r="A1" s="3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41"/>
      <c r="S1" s="41"/>
      <c r="T1" s="41"/>
      <c r="U1" s="41"/>
      <c r="V1" s="41"/>
      <c r="W1" s="41"/>
      <c r="X1" s="41"/>
      <c r="Y1" s="123" t="s">
        <v>64</v>
      </c>
      <c r="Z1" s="123"/>
    </row>
    <row r="2" spans="1:27" s="41" customFormat="1" x14ac:dyDescent="0.25">
      <c r="A2" s="42"/>
    </row>
    <row r="3" spans="1:27" ht="30" customHeight="1" x14ac:dyDescent="0.25">
      <c r="A3" s="162" t="s">
        <v>34</v>
      </c>
      <c r="B3" s="162" t="s">
        <v>2</v>
      </c>
      <c r="C3" s="162" t="s">
        <v>63</v>
      </c>
      <c r="D3" s="171" t="s">
        <v>35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62" t="s">
        <v>36</v>
      </c>
      <c r="U3" s="162"/>
      <c r="V3" s="162"/>
      <c r="W3" s="162"/>
      <c r="X3" s="162"/>
      <c r="Y3" s="162"/>
      <c r="Z3" s="162"/>
    </row>
    <row r="4" spans="1:27" s="41" customFormat="1" ht="185.25" customHeight="1" x14ac:dyDescent="0.25">
      <c r="A4" s="163"/>
      <c r="B4" s="163"/>
      <c r="C4" s="163"/>
      <c r="D4" s="163" t="s">
        <v>37</v>
      </c>
      <c r="E4" s="163"/>
      <c r="F4" s="163"/>
      <c r="G4" s="163"/>
      <c r="H4" s="163"/>
      <c r="I4" s="163"/>
      <c r="J4" s="166" t="s">
        <v>38</v>
      </c>
      <c r="K4" s="166"/>
      <c r="L4" s="166" t="s">
        <v>39</v>
      </c>
      <c r="M4" s="166"/>
      <c r="N4" s="166" t="s">
        <v>40</v>
      </c>
      <c r="O4" s="166"/>
      <c r="P4" s="166" t="s">
        <v>41</v>
      </c>
      <c r="Q4" s="166"/>
      <c r="R4" s="166" t="s">
        <v>42</v>
      </c>
      <c r="S4" s="166"/>
      <c r="T4" s="166" t="s">
        <v>43</v>
      </c>
      <c r="U4" s="174" t="s">
        <v>44</v>
      </c>
      <c r="V4" s="166" t="s">
        <v>45</v>
      </c>
      <c r="W4" s="174" t="s">
        <v>46</v>
      </c>
      <c r="X4" s="166" t="s">
        <v>47</v>
      </c>
      <c r="Y4" s="166" t="s">
        <v>48</v>
      </c>
      <c r="Z4" s="174" t="s">
        <v>49</v>
      </c>
    </row>
    <row r="5" spans="1:27" ht="31.5" customHeight="1" x14ac:dyDescent="0.25">
      <c r="A5" s="162"/>
      <c r="B5" s="162"/>
      <c r="C5" s="162"/>
      <c r="D5" s="39" t="s">
        <v>50</v>
      </c>
      <c r="E5" s="39" t="s">
        <v>51</v>
      </c>
      <c r="F5" s="39" t="s">
        <v>52</v>
      </c>
      <c r="G5" s="39" t="s">
        <v>53</v>
      </c>
      <c r="H5" s="39" t="s">
        <v>54</v>
      </c>
      <c r="I5" s="39" t="s">
        <v>55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75"/>
      <c r="V5" s="167"/>
      <c r="W5" s="175"/>
      <c r="X5" s="167"/>
      <c r="Y5" s="167"/>
      <c r="Z5" s="175"/>
    </row>
    <row r="6" spans="1:27" s="41" customFormat="1" x14ac:dyDescent="0.25">
      <c r="A6" s="163"/>
      <c r="B6" s="163"/>
      <c r="C6" s="43" t="s">
        <v>25</v>
      </c>
      <c r="D6" s="43" t="s">
        <v>25</v>
      </c>
      <c r="E6" s="43" t="s">
        <v>25</v>
      </c>
      <c r="F6" s="43" t="s">
        <v>25</v>
      </c>
      <c r="G6" s="43" t="s">
        <v>25</v>
      </c>
      <c r="H6" s="43" t="s">
        <v>56</v>
      </c>
      <c r="I6" s="43" t="s">
        <v>25</v>
      </c>
      <c r="J6" s="43" t="s">
        <v>57</v>
      </c>
      <c r="K6" s="43" t="s">
        <v>25</v>
      </c>
      <c r="L6" s="43" t="s">
        <v>23</v>
      </c>
      <c r="M6" s="43" t="s">
        <v>25</v>
      </c>
      <c r="N6" s="43" t="s">
        <v>23</v>
      </c>
      <c r="O6" s="43" t="s">
        <v>25</v>
      </c>
      <c r="P6" s="43" t="s">
        <v>23</v>
      </c>
      <c r="Q6" s="43" t="s">
        <v>25</v>
      </c>
      <c r="R6" s="43" t="s">
        <v>58</v>
      </c>
      <c r="S6" s="43" t="s">
        <v>25</v>
      </c>
      <c r="T6" s="43" t="s">
        <v>25</v>
      </c>
      <c r="U6" s="43" t="s">
        <v>25</v>
      </c>
      <c r="V6" s="43" t="s">
        <v>25</v>
      </c>
      <c r="W6" s="43" t="s">
        <v>25</v>
      </c>
      <c r="X6" s="43" t="s">
        <v>25</v>
      </c>
      <c r="Y6" s="43" t="s">
        <v>25</v>
      </c>
      <c r="Z6" s="43" t="s">
        <v>25</v>
      </c>
    </row>
    <row r="7" spans="1:2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</row>
    <row r="8" spans="1:27" s="41" customFormat="1" ht="14.25" customHeight="1" x14ac:dyDescent="0.25">
      <c r="A8" s="164" t="s">
        <v>59</v>
      </c>
      <c r="B8" s="165"/>
      <c r="C8" s="21">
        <f t="shared" ref="C8:Z8" si="0">C9+C20+C37</f>
        <v>46505574.716000006</v>
      </c>
      <c r="D8" s="21">
        <f t="shared" si="0"/>
        <v>0</v>
      </c>
      <c r="E8" s="21">
        <f t="shared" si="0"/>
        <v>8803596.9479999989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1997651.6059999997</v>
      </c>
      <c r="J8" s="21">
        <f t="shared" si="0"/>
        <v>0</v>
      </c>
      <c r="K8" s="21">
        <f t="shared" si="0"/>
        <v>0</v>
      </c>
      <c r="L8" s="21">
        <f t="shared" si="0"/>
        <v>24908.399999999998</v>
      </c>
      <c r="M8" s="21">
        <f t="shared" si="0"/>
        <v>34841120.484000005</v>
      </c>
      <c r="N8" s="21">
        <f t="shared" si="0"/>
        <v>0</v>
      </c>
      <c r="O8" s="21">
        <f t="shared" si="0"/>
        <v>0</v>
      </c>
      <c r="P8" s="21">
        <f t="shared" si="0"/>
        <v>875.4</v>
      </c>
      <c r="Q8" s="21">
        <f t="shared" si="0"/>
        <v>863205.67800000007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0</v>
      </c>
      <c r="W8" s="21">
        <f t="shared" si="0"/>
        <v>0</v>
      </c>
      <c r="X8" s="21">
        <f t="shared" si="0"/>
        <v>0</v>
      </c>
      <c r="Y8" s="21">
        <f t="shared" si="0"/>
        <v>0</v>
      </c>
      <c r="Z8" s="21">
        <f t="shared" si="0"/>
        <v>0</v>
      </c>
      <c r="AA8" s="106"/>
    </row>
    <row r="9" spans="1:27" s="41" customFormat="1" ht="15" customHeight="1" x14ac:dyDescent="0.25">
      <c r="A9" s="164" t="s">
        <v>60</v>
      </c>
      <c r="B9" s="165"/>
      <c r="C9" s="21">
        <f>SUM(C10:C19)</f>
        <v>11847636.725000001</v>
      </c>
      <c r="D9" s="62"/>
      <c r="E9" s="21">
        <f>E13</f>
        <v>741858.88800000004</v>
      </c>
      <c r="F9" s="21"/>
      <c r="G9" s="21"/>
      <c r="H9" s="21"/>
      <c r="I9" s="21">
        <f>1623.4*302.78</f>
        <v>491533.05199999997</v>
      </c>
      <c r="J9" s="21"/>
      <c r="K9" s="21"/>
      <c r="L9" s="21">
        <f>SUM(L10:L19)</f>
        <v>8538.7999999999993</v>
      </c>
      <c r="M9" s="21">
        <f>SUM(M10:M19)</f>
        <v>10614244.785000002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46"/>
    </row>
    <row r="10" spans="1:27" ht="15" customHeight="1" x14ac:dyDescent="0.25">
      <c r="A10" s="12">
        <v>1</v>
      </c>
      <c r="B10" s="94" t="s">
        <v>81</v>
      </c>
      <c r="C10" s="8">
        <f>I10+M10</f>
        <v>2195875.7760000001</v>
      </c>
      <c r="D10" s="8"/>
      <c r="E10" s="8"/>
      <c r="F10" s="8"/>
      <c r="G10" s="8"/>
      <c r="H10" s="8"/>
      <c r="I10" s="15">
        <f>1623.4*302.78</f>
        <v>491533.05199999997</v>
      </c>
      <c r="J10" s="8"/>
      <c r="K10" s="8"/>
      <c r="L10" s="8">
        <v>1623.4</v>
      </c>
      <c r="M10" s="8">
        <f>L10*1049.86</f>
        <v>1704342.7239999999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7"/>
    </row>
    <row r="11" spans="1:27" ht="15" customHeight="1" x14ac:dyDescent="0.25">
      <c r="A11" s="12">
        <v>2</v>
      </c>
      <c r="B11" s="94" t="s">
        <v>100</v>
      </c>
      <c r="C11" s="8">
        <f>M11</f>
        <v>1346865.3939999999</v>
      </c>
      <c r="D11" s="8"/>
      <c r="E11" s="8"/>
      <c r="F11" s="8"/>
      <c r="G11" s="8"/>
      <c r="H11" s="8"/>
      <c r="I11" s="8"/>
      <c r="J11" s="8"/>
      <c r="K11" s="8"/>
      <c r="L11" s="8">
        <v>1205</v>
      </c>
      <c r="M11" s="8">
        <f>1049.86*1282.9</f>
        <v>1346865.3939999999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7"/>
    </row>
    <row r="12" spans="1:27" s="41" customFormat="1" ht="15" customHeight="1" x14ac:dyDescent="0.25">
      <c r="A12" s="44">
        <v>3</v>
      </c>
      <c r="B12" s="94" t="s">
        <v>82</v>
      </c>
      <c r="C12" s="15">
        <f>M12</f>
        <v>919047.4439999999</v>
      </c>
      <c r="D12" s="8"/>
      <c r="E12" s="15"/>
      <c r="F12" s="15"/>
      <c r="G12" s="15"/>
      <c r="H12" s="15"/>
      <c r="I12" s="15"/>
      <c r="J12" s="15"/>
      <c r="K12" s="15"/>
      <c r="L12" s="15">
        <v>875.4</v>
      </c>
      <c r="M12" s="15">
        <f>L12*1049.86</f>
        <v>919047.4439999999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6"/>
    </row>
    <row r="13" spans="1:27" ht="15" customHeight="1" x14ac:dyDescent="0.25">
      <c r="A13" s="12">
        <v>4</v>
      </c>
      <c r="B13" s="94" t="s">
        <v>85</v>
      </c>
      <c r="C13" s="8">
        <f>E13</f>
        <v>741858.88800000004</v>
      </c>
      <c r="D13" s="8"/>
      <c r="E13" s="40">
        <f>1110.8*667.86</f>
        <v>741858.88800000004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7"/>
    </row>
    <row r="14" spans="1:27" ht="15" customHeight="1" x14ac:dyDescent="0.25">
      <c r="A14" s="70">
        <v>5</v>
      </c>
      <c r="B14" s="105" t="s">
        <v>112</v>
      </c>
      <c r="C14" s="68">
        <f t="shared" ref="C14:C19" si="1">M14</f>
        <v>967629.52500000002</v>
      </c>
      <c r="D14" s="8"/>
      <c r="E14" s="68"/>
      <c r="F14" s="68"/>
      <c r="G14" s="68"/>
      <c r="H14" s="68"/>
      <c r="I14" s="68"/>
      <c r="J14" s="68"/>
      <c r="K14" s="68"/>
      <c r="L14" s="68">
        <v>566</v>
      </c>
      <c r="M14" s="68">
        <f>1633.13*592.5</f>
        <v>967629.52500000002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7"/>
    </row>
    <row r="15" spans="1:27" ht="15" customHeight="1" x14ac:dyDescent="0.25">
      <c r="A15" s="70">
        <v>6</v>
      </c>
      <c r="B15" s="105" t="s">
        <v>113</v>
      </c>
      <c r="C15" s="69">
        <f t="shared" si="1"/>
        <v>1020542.937</v>
      </c>
      <c r="D15" s="8"/>
      <c r="E15" s="68"/>
      <c r="F15" s="68"/>
      <c r="G15" s="68"/>
      <c r="H15" s="68"/>
      <c r="I15" s="68"/>
      <c r="J15" s="68"/>
      <c r="K15" s="68"/>
      <c r="L15" s="68">
        <v>578</v>
      </c>
      <c r="M15" s="8">
        <f>1633.13*624.9</f>
        <v>1020542.937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7"/>
    </row>
    <row r="16" spans="1:27" ht="15" customHeight="1" x14ac:dyDescent="0.25">
      <c r="A16" s="12">
        <v>7</v>
      </c>
      <c r="B16" s="94" t="s">
        <v>123</v>
      </c>
      <c r="C16" s="8">
        <f t="shared" si="1"/>
        <v>1465289.602</v>
      </c>
      <c r="D16" s="8"/>
      <c r="E16" s="47"/>
      <c r="F16" s="8"/>
      <c r="G16" s="8"/>
      <c r="H16" s="8"/>
      <c r="I16" s="8"/>
      <c r="J16" s="8"/>
      <c r="K16" s="8"/>
      <c r="L16" s="8">
        <v>1326</v>
      </c>
      <c r="M16" s="8">
        <f>1049.86*1395.7</f>
        <v>1465289.602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47"/>
    </row>
    <row r="17" spans="1:26" ht="15" customHeight="1" x14ac:dyDescent="0.25">
      <c r="A17" s="12">
        <v>8</v>
      </c>
      <c r="B17" s="94" t="s">
        <v>118</v>
      </c>
      <c r="C17" s="8">
        <f t="shared" si="1"/>
        <v>1575524.902</v>
      </c>
      <c r="D17" s="8"/>
      <c r="E17" s="47"/>
      <c r="F17" s="8"/>
      <c r="G17" s="8"/>
      <c r="H17" s="8"/>
      <c r="I17" s="8"/>
      <c r="J17" s="8"/>
      <c r="K17" s="8"/>
      <c r="L17" s="8">
        <v>1426</v>
      </c>
      <c r="M17" s="8">
        <f>1049.86*1500.7</f>
        <v>1575524.902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47"/>
    </row>
    <row r="18" spans="1:26" ht="15" customHeight="1" x14ac:dyDescent="0.25">
      <c r="A18" s="12">
        <v>9</v>
      </c>
      <c r="B18" s="94" t="s">
        <v>130</v>
      </c>
      <c r="C18" s="8">
        <f t="shared" si="1"/>
        <v>607361.04700000002</v>
      </c>
      <c r="D18" s="8"/>
      <c r="E18" s="47"/>
      <c r="F18" s="8"/>
      <c r="G18" s="8"/>
      <c r="H18" s="8"/>
      <c r="I18" s="8"/>
      <c r="J18" s="8"/>
      <c r="K18" s="8"/>
      <c r="L18" s="8">
        <v>353</v>
      </c>
      <c r="M18" s="8">
        <f>371.9*1633.13</f>
        <v>607361.04700000002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47"/>
    </row>
    <row r="19" spans="1:26" ht="15" customHeight="1" x14ac:dyDescent="0.25">
      <c r="A19" s="12">
        <v>10</v>
      </c>
      <c r="B19" s="94" t="s">
        <v>138</v>
      </c>
      <c r="C19" s="8">
        <f t="shared" si="1"/>
        <v>1007641.2100000001</v>
      </c>
      <c r="D19" s="8"/>
      <c r="E19" s="47"/>
      <c r="F19" s="8"/>
      <c r="G19" s="8"/>
      <c r="H19" s="8"/>
      <c r="I19" s="8"/>
      <c r="J19" s="8"/>
      <c r="K19" s="8"/>
      <c r="L19" s="8">
        <v>586</v>
      </c>
      <c r="M19" s="8">
        <f>617*1633.13</f>
        <v>1007641.2100000001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47"/>
    </row>
    <row r="20" spans="1:26" s="41" customFormat="1" ht="15" customHeight="1" x14ac:dyDescent="0.25">
      <c r="A20" s="164" t="s">
        <v>61</v>
      </c>
      <c r="B20" s="165"/>
      <c r="C20" s="21">
        <f>SUM(C21:C36)</f>
        <v>14978482.054000001</v>
      </c>
      <c r="D20" s="21">
        <f t="shared" ref="D20:Z20" si="2">SUM(D21:D36)</f>
        <v>0</v>
      </c>
      <c r="E20" s="21">
        <f t="shared" si="2"/>
        <v>3269174.7</v>
      </c>
      <c r="F20" s="21">
        <f t="shared" si="2"/>
        <v>0</v>
      </c>
      <c r="G20" s="21">
        <f t="shared" si="2"/>
        <v>0</v>
      </c>
      <c r="H20" s="21">
        <f t="shared" si="2"/>
        <v>0</v>
      </c>
      <c r="I20" s="21">
        <f t="shared" si="2"/>
        <v>586454.58199999994</v>
      </c>
      <c r="J20" s="21">
        <f t="shared" si="2"/>
        <v>0</v>
      </c>
      <c r="K20" s="21">
        <f t="shared" si="2"/>
        <v>0</v>
      </c>
      <c r="L20" s="21">
        <f t="shared" si="2"/>
        <v>6823.8</v>
      </c>
      <c r="M20" s="21">
        <f t="shared" si="2"/>
        <v>11122852.772</v>
      </c>
      <c r="N20" s="21">
        <f t="shared" si="2"/>
        <v>0</v>
      </c>
      <c r="O20" s="21">
        <f t="shared" si="2"/>
        <v>0</v>
      </c>
      <c r="P20" s="21">
        <f t="shared" si="2"/>
        <v>0</v>
      </c>
      <c r="Q20" s="21">
        <f t="shared" si="2"/>
        <v>0</v>
      </c>
      <c r="R20" s="21">
        <f t="shared" si="2"/>
        <v>0</v>
      </c>
      <c r="S20" s="21">
        <f t="shared" si="2"/>
        <v>0</v>
      </c>
      <c r="T20" s="21">
        <f t="shared" si="2"/>
        <v>0</v>
      </c>
      <c r="U20" s="21">
        <f t="shared" si="2"/>
        <v>0</v>
      </c>
      <c r="V20" s="21">
        <f t="shared" si="2"/>
        <v>0</v>
      </c>
      <c r="W20" s="21">
        <f t="shared" si="2"/>
        <v>0</v>
      </c>
      <c r="X20" s="21">
        <f t="shared" si="2"/>
        <v>0</v>
      </c>
      <c r="Y20" s="21">
        <f t="shared" si="2"/>
        <v>0</v>
      </c>
      <c r="Z20" s="21">
        <f t="shared" si="2"/>
        <v>0</v>
      </c>
    </row>
    <row r="21" spans="1:26" ht="15" customHeight="1" x14ac:dyDescent="0.25">
      <c r="A21" s="12">
        <v>1</v>
      </c>
      <c r="B21" s="94" t="s">
        <v>100</v>
      </c>
      <c r="C21" s="8">
        <f>I21</f>
        <v>388436.462</v>
      </c>
      <c r="D21" s="72"/>
      <c r="E21" s="8"/>
      <c r="F21" s="8"/>
      <c r="G21" s="8"/>
      <c r="H21" s="8"/>
      <c r="I21" s="8">
        <f>302.78*1282.9</f>
        <v>388436.462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47"/>
    </row>
    <row r="22" spans="1:26" s="41" customFormat="1" ht="15" customHeight="1" x14ac:dyDescent="0.25">
      <c r="A22" s="44">
        <v>2</v>
      </c>
      <c r="B22" s="94" t="s">
        <v>84</v>
      </c>
      <c r="C22" s="15">
        <f>M22</f>
        <v>591846.31200000003</v>
      </c>
      <c r="D22" s="27"/>
      <c r="E22" s="15"/>
      <c r="F22" s="15"/>
      <c r="G22" s="15"/>
      <c r="H22" s="15"/>
      <c r="I22" s="15"/>
      <c r="J22" s="15"/>
      <c r="K22" s="15"/>
      <c r="L22" s="15">
        <v>362.4</v>
      </c>
      <c r="M22" s="15">
        <f>L22*1633.13</f>
        <v>591846.31200000003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6"/>
    </row>
    <row r="23" spans="1:26" ht="15" customHeight="1" x14ac:dyDescent="0.25">
      <c r="A23" s="12">
        <v>3</v>
      </c>
      <c r="B23" s="94" t="s">
        <v>85</v>
      </c>
      <c r="C23" s="8">
        <f>M23</f>
        <v>1166184.4879999999</v>
      </c>
      <c r="D23" s="72"/>
      <c r="E23" s="8"/>
      <c r="F23" s="8"/>
      <c r="G23" s="8"/>
      <c r="H23" s="8"/>
      <c r="I23" s="8"/>
      <c r="J23" s="8"/>
      <c r="K23" s="8"/>
      <c r="L23" s="8">
        <v>1110.8</v>
      </c>
      <c r="M23" s="8">
        <f>L23*1049.86</f>
        <v>1166184.4879999999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47"/>
    </row>
    <row r="24" spans="1:26" ht="15" customHeight="1" x14ac:dyDescent="0.25">
      <c r="A24" s="12">
        <v>4</v>
      </c>
      <c r="B24" s="94" t="s">
        <v>104</v>
      </c>
      <c r="C24" s="8">
        <f>E24+M24</f>
        <v>1656712.8</v>
      </c>
      <c r="D24" s="27"/>
      <c r="E24" s="8">
        <f>720*667.86</f>
        <v>480859.2</v>
      </c>
      <c r="F24" s="8"/>
      <c r="G24" s="8"/>
      <c r="H24" s="8"/>
      <c r="I24" s="8"/>
      <c r="J24" s="8"/>
      <c r="K24" s="8"/>
      <c r="L24" s="8">
        <v>720</v>
      </c>
      <c r="M24" s="8">
        <f>L24*1633.13</f>
        <v>1175853.6000000001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47"/>
    </row>
    <row r="25" spans="1:26" s="41" customFormat="1" ht="15" customHeight="1" x14ac:dyDescent="0.25">
      <c r="A25" s="12">
        <v>5</v>
      </c>
      <c r="B25" s="94" t="s">
        <v>86</v>
      </c>
      <c r="C25" s="15">
        <f>M25</f>
        <v>791741.42400000012</v>
      </c>
      <c r="D25" s="27"/>
      <c r="E25" s="15"/>
      <c r="F25" s="15"/>
      <c r="G25" s="15"/>
      <c r="H25" s="15"/>
      <c r="I25" s="15"/>
      <c r="J25" s="15"/>
      <c r="K25" s="15"/>
      <c r="L25" s="15">
        <v>484.8</v>
      </c>
      <c r="M25" s="15">
        <f>L25*1633.13</f>
        <v>791741.42400000012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6"/>
    </row>
    <row r="26" spans="1:26" ht="15" customHeight="1" x14ac:dyDescent="0.25">
      <c r="A26" s="12">
        <v>6</v>
      </c>
      <c r="B26" s="94" t="s">
        <v>87</v>
      </c>
      <c r="C26" s="8">
        <f>E26</f>
        <v>337202.51399999997</v>
      </c>
      <c r="D26" s="27"/>
      <c r="E26" s="8">
        <f>504.9*667.86</f>
        <v>337202.51399999997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47"/>
    </row>
    <row r="27" spans="1:26" s="41" customFormat="1" ht="15" customHeight="1" x14ac:dyDescent="0.25">
      <c r="A27" s="44">
        <v>7</v>
      </c>
      <c r="B27" s="94" t="s">
        <v>92</v>
      </c>
      <c r="C27" s="15">
        <f>E27</f>
        <v>425961.10799999995</v>
      </c>
      <c r="D27" s="27"/>
      <c r="E27" s="15">
        <f>637.8*667.86</f>
        <v>425961.10799999995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46"/>
    </row>
    <row r="28" spans="1:26" ht="15" customHeight="1" x14ac:dyDescent="0.25">
      <c r="A28" s="12">
        <v>8</v>
      </c>
      <c r="B28" s="94" t="s">
        <v>93</v>
      </c>
      <c r="C28" s="8">
        <f>I28</f>
        <v>198018.12</v>
      </c>
      <c r="D28" s="27"/>
      <c r="E28" s="8"/>
      <c r="F28" s="8"/>
      <c r="G28" s="8"/>
      <c r="H28" s="8"/>
      <c r="I28" s="8">
        <f>654*302.78</f>
        <v>198018.12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47"/>
    </row>
    <row r="29" spans="1:26" s="41" customFormat="1" ht="15" customHeight="1" x14ac:dyDescent="0.25">
      <c r="A29" s="12">
        <v>9</v>
      </c>
      <c r="B29" s="94" t="s">
        <v>94</v>
      </c>
      <c r="C29" s="15">
        <f>E29</f>
        <v>2025151.8780000003</v>
      </c>
      <c r="D29" s="27"/>
      <c r="E29" s="15">
        <f>3032.3*667.86</f>
        <v>2025151.8780000003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46"/>
    </row>
    <row r="30" spans="1:26" s="41" customFormat="1" ht="15" customHeight="1" x14ac:dyDescent="0.25">
      <c r="A30" s="70">
        <v>10</v>
      </c>
      <c r="B30" s="105" t="s">
        <v>110</v>
      </c>
      <c r="C30" s="68">
        <f t="shared" ref="C30:C36" si="3">M30</f>
        <v>1033771.29</v>
      </c>
      <c r="D30" s="27"/>
      <c r="E30" s="68"/>
      <c r="F30" s="68"/>
      <c r="G30" s="68"/>
      <c r="H30" s="68"/>
      <c r="I30" s="68"/>
      <c r="J30" s="68"/>
      <c r="K30" s="68"/>
      <c r="L30" s="68">
        <v>580.9</v>
      </c>
      <c r="M30" s="68">
        <f>1633.13*633</f>
        <v>1033771.29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6"/>
    </row>
    <row r="31" spans="1:26" s="41" customFormat="1" ht="15" customHeight="1" x14ac:dyDescent="0.25">
      <c r="A31" s="70">
        <v>11</v>
      </c>
      <c r="B31" s="105" t="s">
        <v>111</v>
      </c>
      <c r="C31" s="68">
        <f t="shared" si="3"/>
        <v>1021522.8150000001</v>
      </c>
      <c r="D31" s="72"/>
      <c r="E31" s="68"/>
      <c r="F31" s="68"/>
      <c r="G31" s="68"/>
      <c r="H31" s="68"/>
      <c r="I31" s="68"/>
      <c r="J31" s="68"/>
      <c r="K31" s="68"/>
      <c r="L31" s="68">
        <v>577.9</v>
      </c>
      <c r="M31" s="68">
        <f>625.5*1633.13</f>
        <v>1021522.8150000001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46"/>
    </row>
    <row r="32" spans="1:26" s="41" customFormat="1" ht="15" customHeight="1" x14ac:dyDescent="0.25">
      <c r="A32" s="11">
        <v>12</v>
      </c>
      <c r="B32" s="46" t="s">
        <v>116</v>
      </c>
      <c r="C32" s="79">
        <f t="shared" si="3"/>
        <v>937253.30700000003</v>
      </c>
      <c r="D32" s="72"/>
      <c r="E32" s="79"/>
      <c r="F32" s="46"/>
      <c r="G32" s="46"/>
      <c r="H32" s="46"/>
      <c r="I32" s="46"/>
      <c r="J32" s="15"/>
      <c r="K32" s="15"/>
      <c r="L32" s="15"/>
      <c r="M32" s="15">
        <f>573.9*1633.13</f>
        <v>937253.30700000003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46"/>
    </row>
    <row r="33" spans="1:26" s="41" customFormat="1" ht="15" customHeight="1" x14ac:dyDescent="0.25">
      <c r="A33" s="12">
        <v>13</v>
      </c>
      <c r="B33" s="94" t="s">
        <v>124</v>
      </c>
      <c r="C33" s="15">
        <f t="shared" si="3"/>
        <v>1363138.2239999999</v>
      </c>
      <c r="D33" s="72"/>
      <c r="E33" s="15"/>
      <c r="F33" s="15"/>
      <c r="G33" s="15"/>
      <c r="H33" s="15"/>
      <c r="I33" s="15"/>
      <c r="J33" s="15"/>
      <c r="K33" s="15"/>
      <c r="L33" s="15">
        <v>1234</v>
      </c>
      <c r="M33" s="15">
        <f>1049.86*1298.4</f>
        <v>1363138.2239999999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46"/>
    </row>
    <row r="34" spans="1:26" s="41" customFormat="1" ht="15" customHeight="1" x14ac:dyDescent="0.25">
      <c r="A34" s="12">
        <v>14</v>
      </c>
      <c r="B34" s="94" t="s">
        <v>125</v>
      </c>
      <c r="C34" s="15">
        <f t="shared" si="3"/>
        <v>973018.85399999993</v>
      </c>
      <c r="D34" s="72"/>
      <c r="E34" s="15"/>
      <c r="F34" s="15"/>
      <c r="G34" s="15"/>
      <c r="H34" s="15"/>
      <c r="I34" s="15"/>
      <c r="J34" s="15"/>
      <c r="K34" s="15"/>
      <c r="L34" s="15">
        <v>566</v>
      </c>
      <c r="M34" s="15">
        <f>1633.13*595.8</f>
        <v>973018.85399999993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46"/>
    </row>
    <row r="35" spans="1:26" s="41" customFormat="1" ht="15" customHeight="1" x14ac:dyDescent="0.25">
      <c r="A35" s="12">
        <v>15</v>
      </c>
      <c r="B35" s="94" t="s">
        <v>132</v>
      </c>
      <c r="C35" s="15">
        <f t="shared" si="3"/>
        <v>1036547.6110000001</v>
      </c>
      <c r="D35" s="72"/>
      <c r="E35" s="15"/>
      <c r="F35" s="15"/>
      <c r="G35" s="15"/>
      <c r="H35" s="15"/>
      <c r="I35" s="15"/>
      <c r="J35" s="15"/>
      <c r="K35" s="15"/>
      <c r="L35" s="15">
        <v>594</v>
      </c>
      <c r="M35" s="15">
        <f>634.7*1633.13</f>
        <v>1036547.6110000001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46"/>
    </row>
    <row r="36" spans="1:26" s="41" customFormat="1" ht="15" customHeight="1" x14ac:dyDescent="0.25">
      <c r="A36" s="12">
        <v>16</v>
      </c>
      <c r="B36" s="94" t="s">
        <v>139</v>
      </c>
      <c r="C36" s="15">
        <f t="shared" si="3"/>
        <v>1031974.8470000001</v>
      </c>
      <c r="D36" s="72"/>
      <c r="E36" s="15"/>
      <c r="F36" s="15"/>
      <c r="G36" s="15"/>
      <c r="H36" s="15"/>
      <c r="I36" s="15"/>
      <c r="J36" s="15"/>
      <c r="K36" s="15"/>
      <c r="L36" s="15">
        <v>593</v>
      </c>
      <c r="M36" s="15">
        <f>631.9*1633.13</f>
        <v>1031974.8470000001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6"/>
    </row>
    <row r="37" spans="1:26" ht="15" customHeight="1" x14ac:dyDescent="0.25">
      <c r="A37" s="168" t="s">
        <v>62</v>
      </c>
      <c r="B37" s="169"/>
      <c r="C37" s="21">
        <f>SUM(C38:C58)</f>
        <v>19679455.936999999</v>
      </c>
      <c r="D37" s="21">
        <f t="shared" ref="D37:Z37" si="4">SUM(D38:D58)</f>
        <v>0</v>
      </c>
      <c r="E37" s="21">
        <f t="shared" si="4"/>
        <v>4792563.3599999994</v>
      </c>
      <c r="F37" s="21">
        <f t="shared" si="4"/>
        <v>0</v>
      </c>
      <c r="G37" s="21">
        <f t="shared" si="4"/>
        <v>0</v>
      </c>
      <c r="H37" s="21">
        <f t="shared" si="4"/>
        <v>0</v>
      </c>
      <c r="I37" s="21">
        <f t="shared" si="4"/>
        <v>919663.97199999983</v>
      </c>
      <c r="J37" s="21">
        <f t="shared" si="4"/>
        <v>0</v>
      </c>
      <c r="K37" s="21">
        <f t="shared" si="4"/>
        <v>0</v>
      </c>
      <c r="L37" s="21">
        <f t="shared" si="4"/>
        <v>9545.7999999999993</v>
      </c>
      <c r="M37" s="21">
        <f t="shared" si="4"/>
        <v>13104022.927000001</v>
      </c>
      <c r="N37" s="21">
        <f t="shared" si="4"/>
        <v>0</v>
      </c>
      <c r="O37" s="21">
        <f t="shared" si="4"/>
        <v>0</v>
      </c>
      <c r="P37" s="21">
        <f t="shared" si="4"/>
        <v>875.4</v>
      </c>
      <c r="Q37" s="21">
        <f t="shared" si="4"/>
        <v>863205.67800000007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</row>
    <row r="38" spans="1:26" s="41" customFormat="1" ht="15" customHeight="1" x14ac:dyDescent="0.25">
      <c r="A38" s="45">
        <v>1</v>
      </c>
      <c r="B38" s="101" t="s">
        <v>82</v>
      </c>
      <c r="C38" s="15">
        <f>I38+Q38</f>
        <v>1128259.29</v>
      </c>
      <c r="D38" s="28"/>
      <c r="E38" s="15"/>
      <c r="F38" s="15"/>
      <c r="G38" s="15"/>
      <c r="H38" s="15"/>
      <c r="I38" s="15">
        <f>875.4*302.78</f>
        <v>265053.61199999996</v>
      </c>
      <c r="J38" s="15"/>
      <c r="K38" s="15"/>
      <c r="L38" s="15"/>
      <c r="M38" s="15"/>
      <c r="N38" s="15"/>
      <c r="O38" s="15"/>
      <c r="P38" s="8">
        <v>875.4</v>
      </c>
      <c r="Q38" s="8">
        <f>P38*986.07</f>
        <v>863205.67800000007</v>
      </c>
      <c r="R38" s="15"/>
      <c r="S38" s="15"/>
      <c r="T38" s="15"/>
      <c r="U38" s="15"/>
      <c r="V38" s="15"/>
      <c r="W38" s="15"/>
      <c r="X38" s="15"/>
      <c r="Y38" s="15"/>
      <c r="Z38" s="46"/>
    </row>
    <row r="39" spans="1:26" ht="15" customHeight="1" x14ac:dyDescent="0.25">
      <c r="A39" s="45">
        <v>2</v>
      </c>
      <c r="B39" s="101" t="s">
        <v>83</v>
      </c>
      <c r="C39" s="8">
        <f>I39</f>
        <v>208554.86399999997</v>
      </c>
      <c r="D39" s="28"/>
      <c r="E39" s="8"/>
      <c r="F39" s="8"/>
      <c r="G39" s="8"/>
      <c r="H39" s="8"/>
      <c r="I39" s="8">
        <f>302.78*688.8</f>
        <v>208554.86399999997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47"/>
    </row>
    <row r="40" spans="1:26" s="41" customFormat="1" ht="15" customHeight="1" x14ac:dyDescent="0.25">
      <c r="A40" s="45">
        <v>3</v>
      </c>
      <c r="B40" s="101" t="s">
        <v>84</v>
      </c>
      <c r="C40" s="15">
        <f>I40</f>
        <v>109727.47199999998</v>
      </c>
      <c r="D40" s="28"/>
      <c r="E40" s="15"/>
      <c r="F40" s="15"/>
      <c r="G40" s="15"/>
      <c r="H40" s="15"/>
      <c r="I40" s="15">
        <f>362.4*302.78</f>
        <v>109727.47199999998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46"/>
    </row>
    <row r="41" spans="1:26" ht="15" customHeight="1" x14ac:dyDescent="0.25">
      <c r="A41" s="35">
        <v>4</v>
      </c>
      <c r="B41" s="101" t="s">
        <v>85</v>
      </c>
      <c r="C41" s="8">
        <f>I41</f>
        <v>336328.02399999998</v>
      </c>
      <c r="D41" s="28"/>
      <c r="E41" s="8"/>
      <c r="F41" s="8"/>
      <c r="G41" s="8"/>
      <c r="H41" s="8"/>
      <c r="I41" s="8">
        <f>1110.8*302.78</f>
        <v>336328.02399999998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47"/>
    </row>
    <row r="42" spans="1:26" s="41" customFormat="1" ht="15" customHeight="1" x14ac:dyDescent="0.25">
      <c r="A42" s="45">
        <v>5</v>
      </c>
      <c r="B42" s="101" t="s">
        <v>87</v>
      </c>
      <c r="C42" s="15">
        <f t="shared" ref="C42:C47" si="5">M42</f>
        <v>824567.33700000006</v>
      </c>
      <c r="D42" s="28"/>
      <c r="E42" s="15"/>
      <c r="F42" s="15"/>
      <c r="G42" s="15"/>
      <c r="H42" s="15"/>
      <c r="I42" s="15"/>
      <c r="J42" s="15"/>
      <c r="K42" s="15"/>
      <c r="L42" s="15">
        <v>504.9</v>
      </c>
      <c r="M42" s="15">
        <f>L42*1633.13</f>
        <v>824567.33700000006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46"/>
    </row>
    <row r="43" spans="1:26" s="26" customFormat="1" ht="15" customHeight="1" x14ac:dyDescent="0.25">
      <c r="A43" s="45">
        <v>6</v>
      </c>
      <c r="B43" s="101" t="s">
        <v>89</v>
      </c>
      <c r="C43" s="15">
        <f t="shared" si="5"/>
        <v>628428.42400000012</v>
      </c>
      <c r="D43" s="28"/>
      <c r="E43" s="21"/>
      <c r="F43" s="21"/>
      <c r="G43" s="21"/>
      <c r="H43" s="21"/>
      <c r="I43" s="21"/>
      <c r="J43" s="21"/>
      <c r="K43" s="21"/>
      <c r="L43" s="8">
        <v>384.8</v>
      </c>
      <c r="M43" s="8">
        <f>L43*1633.13</f>
        <v>628428.42400000012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35">
        <v>7</v>
      </c>
      <c r="B44" s="101" t="s">
        <v>88</v>
      </c>
      <c r="C44" s="8">
        <f t="shared" si="5"/>
        <v>1031158.282</v>
      </c>
      <c r="D44" s="28"/>
      <c r="E44" s="8"/>
      <c r="F44" s="8"/>
      <c r="G44" s="8"/>
      <c r="H44" s="8"/>
      <c r="I44" s="8"/>
      <c r="J44" s="8"/>
      <c r="K44" s="8"/>
      <c r="L44" s="8">
        <v>631.4</v>
      </c>
      <c r="M44" s="8">
        <f>L44*1633.13</f>
        <v>1031158.282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5">
      <c r="A45" s="45">
        <v>8</v>
      </c>
      <c r="B45" s="101" t="s">
        <v>105</v>
      </c>
      <c r="C45" s="8">
        <f t="shared" si="5"/>
        <v>1308545.504</v>
      </c>
      <c r="D45" s="28"/>
      <c r="E45" s="8"/>
      <c r="F45" s="8"/>
      <c r="G45" s="8"/>
      <c r="H45" s="8"/>
      <c r="I45" s="8"/>
      <c r="J45" s="8"/>
      <c r="K45" s="8"/>
      <c r="L45" s="8">
        <v>1246.4000000000001</v>
      </c>
      <c r="M45" s="8">
        <f>L45*1049.86</f>
        <v>1308545.504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41" customFormat="1" x14ac:dyDescent="0.25">
      <c r="A46" s="45">
        <v>9</v>
      </c>
      <c r="B46" s="101" t="s">
        <v>90</v>
      </c>
      <c r="C46" s="15">
        <f t="shared" si="5"/>
        <v>496798.14600000001</v>
      </c>
      <c r="D46" s="28"/>
      <c r="E46" s="15"/>
      <c r="F46" s="15"/>
      <c r="G46" s="15"/>
      <c r="H46" s="15"/>
      <c r="I46" s="15"/>
      <c r="J46" s="15"/>
      <c r="K46" s="15"/>
      <c r="L46" s="15">
        <v>304.2</v>
      </c>
      <c r="M46" s="15">
        <f>L46*1633.13</f>
        <v>496798.14600000001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35">
        <v>10</v>
      </c>
      <c r="B47" s="101" t="s">
        <v>91</v>
      </c>
      <c r="C47" s="8">
        <f t="shared" si="5"/>
        <v>507413.49100000004</v>
      </c>
      <c r="D47" s="28"/>
      <c r="E47" s="8"/>
      <c r="F47" s="8"/>
      <c r="G47" s="8"/>
      <c r="H47" s="8"/>
      <c r="I47" s="8"/>
      <c r="J47" s="8"/>
      <c r="K47" s="8"/>
      <c r="L47" s="8">
        <v>310.7</v>
      </c>
      <c r="M47" s="8">
        <f>L47*1633.13</f>
        <v>507413.49100000004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41" customFormat="1" x14ac:dyDescent="0.25">
      <c r="A48" s="45">
        <v>11</v>
      </c>
      <c r="B48" s="101" t="s">
        <v>95</v>
      </c>
      <c r="C48" s="15">
        <f>E48</f>
        <v>899073.1320000001</v>
      </c>
      <c r="D48" s="28"/>
      <c r="E48" s="15">
        <f>1346.2*667.86</f>
        <v>899073.1320000001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45">
        <v>12</v>
      </c>
      <c r="B49" s="101" t="s">
        <v>96</v>
      </c>
      <c r="C49" s="8">
        <f>E49</f>
        <v>729303.12</v>
      </c>
      <c r="D49" s="28"/>
      <c r="E49" s="8">
        <f>1092*667.86</f>
        <v>729303.12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26" customFormat="1" ht="15" customHeight="1" x14ac:dyDescent="0.25">
      <c r="A50" s="35">
        <v>13</v>
      </c>
      <c r="B50" s="101" t="s">
        <v>97</v>
      </c>
      <c r="C50" s="15">
        <f>E50</f>
        <v>1328440.3259999999</v>
      </c>
      <c r="D50" s="28"/>
      <c r="E50" s="15">
        <f>1989.1*667.86</f>
        <v>1328440.3259999999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8"/>
      <c r="Q50" s="8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5">
        <v>14</v>
      </c>
      <c r="B51" s="101" t="s">
        <v>98</v>
      </c>
      <c r="C51" s="8">
        <f>E51</f>
        <v>844842.9</v>
      </c>
      <c r="D51" s="28"/>
      <c r="E51" s="8">
        <f>1265*667.86</f>
        <v>844842.9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41" customFormat="1" x14ac:dyDescent="0.25">
      <c r="A52" s="45">
        <v>15</v>
      </c>
      <c r="B52" s="101" t="s">
        <v>99</v>
      </c>
      <c r="C52" s="15">
        <f>E52</f>
        <v>990903.8820000001</v>
      </c>
      <c r="D52" s="28"/>
      <c r="E52" s="15">
        <f>1483.7*667.86</f>
        <v>990903.8820000001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41" customFormat="1" x14ac:dyDescent="0.25">
      <c r="A53" s="81">
        <v>16</v>
      </c>
      <c r="B53" s="105" t="s">
        <v>108</v>
      </c>
      <c r="C53" s="68">
        <f t="shared" ref="C53:C58" si="6">M53</f>
        <v>1012377.287</v>
      </c>
      <c r="D53" s="73"/>
      <c r="E53" s="68"/>
      <c r="F53" s="68"/>
      <c r="G53" s="68"/>
      <c r="H53" s="68"/>
      <c r="I53" s="68"/>
      <c r="J53" s="68"/>
      <c r="K53" s="68"/>
      <c r="L53" s="68">
        <v>581.4</v>
      </c>
      <c r="M53" s="68">
        <f>1633.13*619.9</f>
        <v>1012377.287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41" customFormat="1" x14ac:dyDescent="0.25">
      <c r="A54" s="81">
        <v>17</v>
      </c>
      <c r="B54" s="105" t="s">
        <v>107</v>
      </c>
      <c r="C54" s="68">
        <f t="shared" si="6"/>
        <v>1037364.1760000001</v>
      </c>
      <c r="D54" s="73"/>
      <c r="E54" s="68"/>
      <c r="F54" s="68"/>
      <c r="G54" s="68"/>
      <c r="H54" s="68"/>
      <c r="I54" s="68"/>
      <c r="J54" s="68"/>
      <c r="K54" s="68"/>
      <c r="L54" s="68">
        <v>578</v>
      </c>
      <c r="M54" s="68">
        <f>635.2*1633.13</f>
        <v>1037364.1760000001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41" customFormat="1" x14ac:dyDescent="0.25">
      <c r="A55" s="46">
        <v>18</v>
      </c>
      <c r="B55" s="46" t="s">
        <v>126</v>
      </c>
      <c r="C55" s="15">
        <f t="shared" si="6"/>
        <v>2125966.5</v>
      </c>
      <c r="D55" s="73"/>
      <c r="E55" s="15"/>
      <c r="F55" s="15"/>
      <c r="G55" s="15"/>
      <c r="H55" s="15"/>
      <c r="I55" s="15"/>
      <c r="J55" s="15"/>
      <c r="K55" s="15"/>
      <c r="L55" s="15">
        <v>1924</v>
      </c>
      <c r="M55" s="15">
        <f>2025*1049.86</f>
        <v>2125966.5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41" customFormat="1" x14ac:dyDescent="0.25">
      <c r="A56" s="46">
        <v>19</v>
      </c>
      <c r="B56" s="46" t="s">
        <v>127</v>
      </c>
      <c r="C56" s="15">
        <f t="shared" si="6"/>
        <v>2091951.0359999996</v>
      </c>
      <c r="D56" s="73"/>
      <c r="E56" s="15"/>
      <c r="F56" s="15"/>
      <c r="G56" s="15"/>
      <c r="H56" s="15"/>
      <c r="I56" s="15"/>
      <c r="J56" s="15"/>
      <c r="K56" s="15"/>
      <c r="L56" s="15">
        <v>1893</v>
      </c>
      <c r="M56" s="15">
        <f>1992.6*1049.86</f>
        <v>2091951.0359999996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41" customFormat="1" x14ac:dyDescent="0.25">
      <c r="A57" s="46">
        <v>20</v>
      </c>
      <c r="B57" s="46" t="s">
        <v>140</v>
      </c>
      <c r="C57" s="15">
        <f t="shared" si="6"/>
        <v>1020706.2500000001</v>
      </c>
      <c r="D57" s="28"/>
      <c r="E57" s="15"/>
      <c r="F57" s="15"/>
      <c r="G57" s="15"/>
      <c r="H57" s="15"/>
      <c r="I57" s="15"/>
      <c r="J57" s="15"/>
      <c r="K57" s="15"/>
      <c r="L57" s="15">
        <v>594</v>
      </c>
      <c r="M57" s="15">
        <f>625*1633.13</f>
        <v>1020706.2500000001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41" customFormat="1" x14ac:dyDescent="0.25">
      <c r="A58" s="46">
        <v>21</v>
      </c>
      <c r="B58" s="46" t="s">
        <v>141</v>
      </c>
      <c r="C58" s="15">
        <f t="shared" si="6"/>
        <v>1018746.4939999999</v>
      </c>
      <c r="D58" s="28"/>
      <c r="E58" s="15"/>
      <c r="F58" s="15"/>
      <c r="G58" s="15"/>
      <c r="H58" s="15"/>
      <c r="I58" s="15"/>
      <c r="J58" s="15"/>
      <c r="K58" s="15"/>
      <c r="L58" s="15">
        <v>593</v>
      </c>
      <c r="M58" s="15">
        <f>623.8*1633.13</f>
        <v>1018746.4939999999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</sheetData>
  <mergeCells count="24">
    <mergeCell ref="Y1:Z1"/>
    <mergeCell ref="X4:X5"/>
    <mergeCell ref="Y4:Y5"/>
    <mergeCell ref="T3:Z3"/>
    <mergeCell ref="Z4:Z5"/>
    <mergeCell ref="U4:U5"/>
    <mergeCell ref="T4:T5"/>
    <mergeCell ref="W4:W5"/>
    <mergeCell ref="V4:V5"/>
    <mergeCell ref="P4:Q5"/>
    <mergeCell ref="D1:Q1"/>
    <mergeCell ref="D3:S3"/>
    <mergeCell ref="D4:I4"/>
    <mergeCell ref="J4:K5"/>
    <mergeCell ref="R4:S5"/>
    <mergeCell ref="L4:M5"/>
    <mergeCell ref="C3:C5"/>
    <mergeCell ref="A8:B8"/>
    <mergeCell ref="A20:B20"/>
    <mergeCell ref="N4:O5"/>
    <mergeCell ref="A37:B37"/>
    <mergeCell ref="A9:B9"/>
    <mergeCell ref="A3:A6"/>
    <mergeCell ref="B3:B6"/>
  </mergeCells>
  <phoneticPr fontId="6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zoomScale="80" zoomScaleNormal="80" workbookViewId="0">
      <selection activeCell="H14" sqref="H14"/>
    </sheetView>
  </sheetViews>
  <sheetFormatPr defaultRowHeight="15" x14ac:dyDescent="0.25"/>
  <cols>
    <col min="1" max="1" width="51.42578125" customWidth="1"/>
    <col min="2" max="2" width="19.7109375" customWidth="1"/>
    <col min="3" max="3" width="16.42578125" customWidth="1"/>
    <col min="4" max="4" width="7" customWidth="1"/>
    <col min="5" max="5" width="6.5703125" customWidth="1"/>
    <col min="6" max="6" width="6.42578125" customWidth="1"/>
    <col min="7" max="7" width="6.5703125" customWidth="1"/>
    <col min="8" max="8" width="7.5703125" customWidth="1"/>
    <col min="9" max="9" width="6.5703125" customWidth="1"/>
    <col min="10" max="10" width="7.140625" customWidth="1"/>
    <col min="11" max="11" width="7.28515625" customWidth="1"/>
    <col min="12" max="12" width="13.7109375" customWidth="1"/>
    <col min="13" max="13" width="15.140625" customWidth="1"/>
  </cols>
  <sheetData>
    <row r="2" spans="1:13" x14ac:dyDescent="0.25">
      <c r="A2" s="13"/>
      <c r="B2" s="48"/>
      <c r="C2" s="49"/>
      <c r="D2" s="49"/>
      <c r="E2" s="50" t="s">
        <v>65</v>
      </c>
      <c r="F2" s="49"/>
      <c r="G2" s="49"/>
      <c r="H2" s="49"/>
      <c r="I2" s="48"/>
      <c r="J2" s="51"/>
      <c r="K2" s="51"/>
      <c r="L2" s="51"/>
      <c r="M2" s="51"/>
    </row>
    <row r="3" spans="1:13" ht="20.25" customHeight="1" x14ac:dyDescent="0.25">
      <c r="A3" s="13"/>
      <c r="B3" s="48"/>
      <c r="C3" s="49"/>
      <c r="D3" s="49"/>
      <c r="E3" s="50" t="s">
        <v>66</v>
      </c>
      <c r="F3" s="49"/>
      <c r="G3" s="49"/>
      <c r="H3" s="49"/>
      <c r="I3" s="48"/>
      <c r="J3" s="48"/>
      <c r="K3" s="48"/>
      <c r="L3" s="51"/>
      <c r="M3" s="51" t="s">
        <v>67</v>
      </c>
    </row>
    <row r="4" spans="1:13" x14ac:dyDescent="0.25">
      <c r="A4" s="177" t="s">
        <v>68</v>
      </c>
      <c r="B4" s="177" t="s">
        <v>69</v>
      </c>
      <c r="C4" s="178" t="s">
        <v>9</v>
      </c>
      <c r="D4" s="178" t="s">
        <v>70</v>
      </c>
      <c r="E4" s="178"/>
      <c r="F4" s="178"/>
      <c r="G4" s="178"/>
      <c r="H4" s="178"/>
      <c r="I4" s="176" t="s">
        <v>10</v>
      </c>
      <c r="J4" s="176"/>
      <c r="K4" s="176"/>
      <c r="L4" s="176"/>
      <c r="M4" s="176"/>
    </row>
    <row r="5" spans="1:13" x14ac:dyDescent="0.25">
      <c r="A5" s="177"/>
      <c r="B5" s="177"/>
      <c r="C5" s="178"/>
      <c r="D5" s="55" t="s">
        <v>71</v>
      </c>
      <c r="E5" s="55" t="s">
        <v>72</v>
      </c>
      <c r="F5" s="55" t="s">
        <v>73</v>
      </c>
      <c r="G5" s="55" t="s">
        <v>74</v>
      </c>
      <c r="H5" s="55" t="s">
        <v>75</v>
      </c>
      <c r="I5" s="56" t="s">
        <v>71</v>
      </c>
      <c r="J5" s="56" t="s">
        <v>72</v>
      </c>
      <c r="K5" s="56" t="s">
        <v>73</v>
      </c>
      <c r="L5" s="57" t="s">
        <v>74</v>
      </c>
      <c r="M5" s="57" t="s">
        <v>75</v>
      </c>
    </row>
    <row r="6" spans="1:13" x14ac:dyDescent="0.25">
      <c r="A6" s="177"/>
      <c r="B6" s="52" t="s">
        <v>76</v>
      </c>
      <c r="C6" s="53" t="s">
        <v>24</v>
      </c>
      <c r="D6" s="53" t="s">
        <v>57</v>
      </c>
      <c r="E6" s="53" t="s">
        <v>57</v>
      </c>
      <c r="F6" s="53" t="s">
        <v>57</v>
      </c>
      <c r="G6" s="53" t="s">
        <v>57</v>
      </c>
      <c r="H6" s="53" t="s">
        <v>57</v>
      </c>
      <c r="I6" s="52" t="s">
        <v>25</v>
      </c>
      <c r="J6" s="52" t="s">
        <v>25</v>
      </c>
      <c r="K6" s="52" t="s">
        <v>25</v>
      </c>
      <c r="L6" s="54" t="s">
        <v>25</v>
      </c>
      <c r="M6" s="54" t="s">
        <v>25</v>
      </c>
    </row>
    <row r="7" spans="1:13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</row>
    <row r="8" spans="1:13" x14ac:dyDescent="0.25">
      <c r="A8" s="58" t="s">
        <v>77</v>
      </c>
      <c r="B8" s="59">
        <f>B9+B10+B11</f>
        <v>60977.53</v>
      </c>
      <c r="C8" s="59">
        <f>C9+C10+C11</f>
        <v>1633</v>
      </c>
      <c r="D8" s="59">
        <f t="shared" ref="D8:M8" si="0">D9+D10+D11</f>
        <v>0</v>
      </c>
      <c r="E8" s="59">
        <f t="shared" si="0"/>
        <v>0</v>
      </c>
      <c r="F8" s="59">
        <f t="shared" si="0"/>
        <v>0</v>
      </c>
      <c r="G8" s="59">
        <f t="shared" si="0"/>
        <v>47</v>
      </c>
      <c r="H8" s="59">
        <f t="shared" si="0"/>
        <v>47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46505574.719999999</v>
      </c>
      <c r="M8" s="59">
        <f t="shared" si="0"/>
        <v>46505574.719999999</v>
      </c>
    </row>
    <row r="9" spans="1:13" ht="35.25" customHeight="1" x14ac:dyDescent="0.25">
      <c r="A9" s="121" t="s">
        <v>78</v>
      </c>
      <c r="B9" s="61">
        <v>13891.6</v>
      </c>
      <c r="C9" s="60">
        <v>336</v>
      </c>
      <c r="D9" s="60"/>
      <c r="E9" s="60"/>
      <c r="F9" s="60"/>
      <c r="G9" s="60">
        <v>10</v>
      </c>
      <c r="H9" s="60">
        <v>10</v>
      </c>
      <c r="I9" s="61"/>
      <c r="J9" s="61"/>
      <c r="K9" s="61"/>
      <c r="L9" s="61">
        <v>11847636.73</v>
      </c>
      <c r="M9" s="61">
        <f>L9</f>
        <v>11847636.73</v>
      </c>
    </row>
    <row r="10" spans="1:13" ht="31.5" customHeight="1" x14ac:dyDescent="0.25">
      <c r="A10" s="121" t="s">
        <v>79</v>
      </c>
      <c r="B10" s="122">
        <v>19482</v>
      </c>
      <c r="C10" s="60">
        <v>742</v>
      </c>
      <c r="D10" s="60"/>
      <c r="E10" s="60"/>
      <c r="F10" s="60"/>
      <c r="G10" s="60">
        <v>16</v>
      </c>
      <c r="H10" s="60">
        <v>16</v>
      </c>
      <c r="I10" s="61"/>
      <c r="J10" s="61"/>
      <c r="K10" s="61"/>
      <c r="L10" s="61">
        <v>14978482.050000001</v>
      </c>
      <c r="M10" s="61">
        <f>L10</f>
        <v>14978482.050000001</v>
      </c>
    </row>
    <row r="11" spans="1:13" ht="37.5" customHeight="1" x14ac:dyDescent="0.25">
      <c r="A11" s="121" t="s">
        <v>80</v>
      </c>
      <c r="B11" s="122">
        <v>27603.93</v>
      </c>
      <c r="C11" s="60">
        <v>555</v>
      </c>
      <c r="D11" s="60"/>
      <c r="E11" s="60"/>
      <c r="F11" s="60"/>
      <c r="G11" s="60">
        <v>21</v>
      </c>
      <c r="H11" s="60">
        <v>21</v>
      </c>
      <c r="I11" s="61"/>
      <c r="J11" s="61"/>
      <c r="K11" s="61"/>
      <c r="L11" s="61">
        <v>19679455.940000001</v>
      </c>
      <c r="M11" s="61">
        <f>L11</f>
        <v>19679455.940000001</v>
      </c>
    </row>
  </sheetData>
  <mergeCells count="5">
    <mergeCell ref="I4:M4"/>
    <mergeCell ref="A4:A6"/>
    <mergeCell ref="B4:B5"/>
    <mergeCell ref="C4:C5"/>
    <mergeCell ref="D4:H4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 перечень МКД</vt:lpstr>
      <vt:lpstr>Форма 2 Виды ремонтов</vt:lpstr>
      <vt:lpstr>Форма 3 Показатели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2017-05-01T08:08:51Z</cp:lastPrinted>
  <dcterms:created xsi:type="dcterms:W3CDTF">2006-09-16T00:00:00Z</dcterms:created>
  <dcterms:modified xsi:type="dcterms:W3CDTF">2017-05-03T11:53:12Z</dcterms:modified>
</cp:coreProperties>
</file>